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ocesedemontreal-my.sharepoint.com/personal/jorounla_diocesemontreal_org/Documents/Documents/DOSSIER AP/"/>
    </mc:Choice>
  </mc:AlternateContent>
  <xr:revisionPtr revIDLastSave="7" documentId="13_ncr:1_{62DBB6C9-E1F3-4158-B38E-F37870A20B99}" xr6:coauthVersionLast="47" xr6:coauthVersionMax="47" xr10:uidLastSave="{FD325F4F-6106-4F3D-AF53-B2379579FEB2}"/>
  <bookViews>
    <workbookView xWindow="-120" yWindow="-120" windowWidth="25440" windowHeight="15390" xr2:uid="{01CFB4E6-B416-4C83-9E5D-17160B52DD8E}"/>
  </bookViews>
  <sheets>
    <sheet name="64 ans et moins" sheetId="1" r:id="rId1"/>
    <sheet name="65 ans et +" sheetId="2" r:id="rId2"/>
    <sheet name="70 ans et +" sheetId="3" r:id="rId3"/>
  </sheets>
  <externalReferences>
    <externalReference r:id="rId4"/>
  </externalReferences>
  <definedNames>
    <definedName name="_xlnm.Print_Area" localSheetId="0">'64 ans et moins'!$A$1:$I$51</definedName>
    <definedName name="_xlnm.Print_Area" localSheetId="1">'65 ans et +'!$A$1:$I$51</definedName>
    <definedName name="_xlnm.Print_Area" localSheetId="2">'70 ans et +'!$A$1:$I$51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F18" i="2" s="1"/>
  <c r="G18" i="2" s="1"/>
  <c r="J18" i="2" s="1"/>
  <c r="K18" i="2" s="1"/>
  <c r="L18" i="2" s="1"/>
  <c r="F24" i="3"/>
  <c r="G24" i="3" s="1"/>
  <c r="J24" i="3" s="1"/>
  <c r="K24" i="3" s="1"/>
  <c r="L24" i="3" s="1"/>
  <c r="J23" i="3"/>
  <c r="K23" i="3" s="1"/>
  <c r="L23" i="3" s="1"/>
  <c r="G22" i="3"/>
  <c r="J22" i="3" s="1"/>
  <c r="K22" i="3" s="1"/>
  <c r="L22" i="3" s="1"/>
  <c r="J21" i="3"/>
  <c r="K21" i="3" s="1"/>
  <c r="L21" i="3" s="1"/>
  <c r="G20" i="3"/>
  <c r="J20" i="3" s="1"/>
  <c r="K20" i="3" s="1"/>
  <c r="L20" i="3" s="1"/>
  <c r="P19" i="3"/>
  <c r="J19" i="3"/>
  <c r="K19" i="3" s="1"/>
  <c r="L19" i="3" s="1"/>
  <c r="P18" i="3"/>
  <c r="G18" i="3"/>
  <c r="J18" i="3" s="1"/>
  <c r="K18" i="3" s="1"/>
  <c r="L18" i="3" s="1"/>
  <c r="D18" i="3"/>
  <c r="E18" i="3" s="1"/>
  <c r="J17" i="3"/>
  <c r="K17" i="3" s="1"/>
  <c r="L17" i="3" s="1"/>
  <c r="F16" i="3"/>
  <c r="G38" i="3" s="1"/>
  <c r="J15" i="3"/>
  <c r="K15" i="3" s="1"/>
  <c r="L15" i="3" s="1"/>
  <c r="G14" i="3"/>
  <c r="D14" i="3"/>
  <c r="E14" i="3" s="1"/>
  <c r="G3" i="3"/>
  <c r="F24" i="2"/>
  <c r="G24" i="2" s="1"/>
  <c r="J24" i="2" s="1"/>
  <c r="K24" i="2" s="1"/>
  <c r="L24" i="2" s="1"/>
  <c r="J23" i="2"/>
  <c r="K23" i="2" s="1"/>
  <c r="L23" i="2" s="1"/>
  <c r="G22" i="2"/>
  <c r="J22" i="2" s="1"/>
  <c r="K22" i="2" s="1"/>
  <c r="L22" i="2" s="1"/>
  <c r="J21" i="2"/>
  <c r="K21" i="2" s="1"/>
  <c r="L21" i="2" s="1"/>
  <c r="G20" i="2"/>
  <c r="J20" i="2" s="1"/>
  <c r="K20" i="2" s="1"/>
  <c r="L20" i="2" s="1"/>
  <c r="P19" i="2"/>
  <c r="J19" i="2"/>
  <c r="K19" i="2" s="1"/>
  <c r="L19" i="2" s="1"/>
  <c r="P18" i="2"/>
  <c r="D18" i="2"/>
  <c r="K17" i="2"/>
  <c r="L17" i="2" s="1"/>
  <c r="J17" i="2"/>
  <c r="F16" i="2"/>
  <c r="G16" i="2" s="1"/>
  <c r="J16" i="2" s="1"/>
  <c r="K16" i="2" s="1"/>
  <c r="L16" i="2" s="1"/>
  <c r="J15" i="2"/>
  <c r="K15" i="2" s="1"/>
  <c r="L15" i="2" s="1"/>
  <c r="E14" i="2"/>
  <c r="F14" i="2" s="1"/>
  <c r="D14" i="2"/>
  <c r="G3" i="2"/>
  <c r="F24" i="1"/>
  <c r="G24" i="1" s="1"/>
  <c r="J24" i="1" s="1"/>
  <c r="K24" i="1" s="1"/>
  <c r="L24" i="1" s="1"/>
  <c r="J23" i="1"/>
  <c r="K23" i="1" s="1"/>
  <c r="L23" i="1" s="1"/>
  <c r="F22" i="1"/>
  <c r="G22" i="1" s="1"/>
  <c r="J22" i="1" s="1"/>
  <c r="K22" i="1" s="1"/>
  <c r="L22" i="1" s="1"/>
  <c r="J21" i="1"/>
  <c r="K21" i="1" s="1"/>
  <c r="L21" i="1" s="1"/>
  <c r="F20" i="1"/>
  <c r="G20" i="1" s="1"/>
  <c r="J20" i="1" s="1"/>
  <c r="K20" i="1" s="1"/>
  <c r="L20" i="1" s="1"/>
  <c r="J19" i="1"/>
  <c r="K19" i="1" s="1"/>
  <c r="L19" i="1" s="1"/>
  <c r="D18" i="1"/>
  <c r="E18" i="1" s="1"/>
  <c r="F18" i="1" s="1"/>
  <c r="G18" i="1" s="1"/>
  <c r="J18" i="1" s="1"/>
  <c r="K18" i="1" s="1"/>
  <c r="L18" i="1" s="1"/>
  <c r="J17" i="1"/>
  <c r="K17" i="1" s="1"/>
  <c r="L17" i="1" s="1"/>
  <c r="F16" i="1"/>
  <c r="G16" i="1" s="1"/>
  <c r="J16" i="1" s="1"/>
  <c r="K16" i="1" s="1"/>
  <c r="L16" i="1" s="1"/>
  <c r="J15" i="1"/>
  <c r="K15" i="1" s="1"/>
  <c r="L15" i="1" s="1"/>
  <c r="D14" i="1"/>
  <c r="E14" i="1" s="1"/>
  <c r="F14" i="1" s="1"/>
  <c r="G10" i="1"/>
  <c r="G35" i="3" l="1"/>
  <c r="G38" i="2"/>
  <c r="G50" i="2" s="1"/>
  <c r="H50" i="2" s="1"/>
  <c r="H38" i="3"/>
  <c r="G50" i="3"/>
  <c r="H50" i="3" s="1"/>
  <c r="J14" i="3"/>
  <c r="K14" i="3" s="1"/>
  <c r="L14" i="3" s="1"/>
  <c r="G16" i="3"/>
  <c r="J16" i="3" s="1"/>
  <c r="K16" i="3" s="1"/>
  <c r="L16" i="3" s="1"/>
  <c r="G14" i="2"/>
  <c r="G35" i="2"/>
  <c r="G14" i="1"/>
  <c r="G35" i="1"/>
  <c r="G38" i="1"/>
  <c r="P19" i="1"/>
  <c r="P18" i="1"/>
  <c r="H35" i="3" l="1"/>
  <c r="G48" i="3"/>
  <c r="H48" i="3" s="1"/>
  <c r="G29" i="3"/>
  <c r="G31" i="3" s="1"/>
  <c r="H31" i="3" s="1"/>
  <c r="I38" i="2"/>
  <c r="H38" i="2"/>
  <c r="F50" i="3"/>
  <c r="E50" i="3"/>
  <c r="P13" i="3"/>
  <c r="I35" i="2"/>
  <c r="H35" i="2"/>
  <c r="G48" i="2"/>
  <c r="H48" i="2" s="1"/>
  <c r="G29" i="2"/>
  <c r="J14" i="2"/>
  <c r="K14" i="2" s="1"/>
  <c r="L14" i="2" s="1"/>
  <c r="F50" i="2"/>
  <c r="E50" i="2"/>
  <c r="I38" i="1"/>
  <c r="H38" i="1"/>
  <c r="G50" i="1"/>
  <c r="H50" i="1" s="1"/>
  <c r="J14" i="1"/>
  <c r="K14" i="1" s="1"/>
  <c r="L14" i="1" s="1"/>
  <c r="G29" i="1"/>
  <c r="G48" i="1"/>
  <c r="H48" i="1" s="1"/>
  <c r="H35" i="1"/>
  <c r="I35" i="1"/>
  <c r="H29" i="3" l="1"/>
  <c r="G44" i="3"/>
  <c r="G30" i="3"/>
  <c r="H30" i="3" s="1"/>
  <c r="E48" i="3"/>
  <c r="F48" i="3"/>
  <c r="P16" i="3"/>
  <c r="P20" i="3" s="1"/>
  <c r="S22" i="3" s="1"/>
  <c r="P15" i="3"/>
  <c r="G46" i="3"/>
  <c r="H46" i="3" s="1"/>
  <c r="H44" i="3"/>
  <c r="G30" i="2"/>
  <c r="G44" i="2"/>
  <c r="I29" i="2"/>
  <c r="P13" i="2"/>
  <c r="H29" i="2"/>
  <c r="G31" i="2"/>
  <c r="F48" i="2"/>
  <c r="E48" i="2"/>
  <c r="F48" i="1"/>
  <c r="E48" i="1"/>
  <c r="G31" i="1"/>
  <c r="G44" i="1"/>
  <c r="H29" i="1"/>
  <c r="I29" i="1"/>
  <c r="G30" i="1"/>
  <c r="P13" i="1"/>
  <c r="F50" i="1"/>
  <c r="E50" i="1"/>
  <c r="F44" i="3" l="1"/>
  <c r="E44" i="3"/>
  <c r="F46" i="3"/>
  <c r="E46" i="3"/>
  <c r="I31" i="2"/>
  <c r="H31" i="2"/>
  <c r="H30" i="2"/>
  <c r="I30" i="2"/>
  <c r="P16" i="2"/>
  <c r="P20" i="2" s="1"/>
  <c r="S22" i="2" s="1"/>
  <c r="P15" i="2"/>
  <c r="H44" i="2"/>
  <c r="G46" i="2"/>
  <c r="H46" i="2" s="1"/>
  <c r="I30" i="1"/>
  <c r="H30" i="1"/>
  <c r="G46" i="1"/>
  <c r="H46" i="1" s="1"/>
  <c r="H44" i="1"/>
  <c r="P15" i="1"/>
  <c r="P16" i="1"/>
  <c r="P20" i="1" s="1"/>
  <c r="S22" i="1" s="1"/>
  <c r="H31" i="1"/>
  <c r="I31" i="1"/>
  <c r="F46" i="2" l="1"/>
  <c r="E46" i="2"/>
  <c r="F44" i="2"/>
  <c r="E44" i="2"/>
  <c r="E44" i="1"/>
  <c r="F44" i="1"/>
  <c r="F46" i="1"/>
  <c r="E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Louise Labbé</author>
  </authors>
  <commentList>
    <comment ref="M13" authorId="0" shapeId="0" xr:uid="{E4CC9E4C-A663-4AD6-B3DD-9AB212A8B067}">
      <text>
        <r>
          <rPr>
            <b/>
            <sz val="9"/>
            <color indexed="81"/>
            <rFont val="Tahoma"/>
            <family val="2"/>
          </rPr>
          <t>Louise Labbé: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Louise Labbé</author>
  </authors>
  <commentList>
    <comment ref="M13" authorId="0" shapeId="0" xr:uid="{BE6BE955-5D6F-4CC5-8CD4-6FED21B48857}">
      <text>
        <r>
          <rPr>
            <b/>
            <sz val="9"/>
            <color indexed="81"/>
            <rFont val="Tahoma"/>
            <family val="2"/>
          </rPr>
          <t>Louise Labbé: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Louise Labbé</author>
  </authors>
  <commentList>
    <comment ref="M13" authorId="0" shapeId="0" xr:uid="{E8ED04EF-165B-450F-B978-D8C61CE3564B}">
      <text>
        <r>
          <rPr>
            <b/>
            <sz val="9"/>
            <color indexed="81"/>
            <rFont val="Tahoma"/>
            <family val="2"/>
          </rPr>
          <t>Louise Labbé: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<sst xmlns="http://schemas.openxmlformats.org/spreadsheetml/2006/main" count="192" uniqueCount="74">
  <si>
    <t xml:space="preserve">Assurance collective - Fabriques   </t>
  </si>
  <si>
    <t xml:space="preserve">Paroisse(s) : </t>
  </si>
  <si>
    <t>Sainte-Dorothée</t>
  </si>
  <si>
    <t xml:space="preserve">Prénom et NOM : </t>
  </si>
  <si>
    <t>ANNÉE 2024</t>
  </si>
  <si>
    <t xml:space="preserve">Salaire annuel : </t>
  </si>
  <si>
    <t>Sans Ass. Maladie ni Soins médicaux</t>
  </si>
  <si>
    <t>&lt;= type de protection</t>
  </si>
  <si>
    <t>POUR LE CALCUL DE L'AVANTAGE IMPOSABLE</t>
  </si>
  <si>
    <t>Prime</t>
  </si>
  <si>
    <t>Prime + taxes</t>
  </si>
  <si>
    <t>Prime annuelle</t>
  </si>
  <si>
    <t>EXEMPLE</t>
  </si>
  <si>
    <t xml:space="preserve">TOTAL DE PRIME </t>
  </si>
  <si>
    <t>mensuel</t>
  </si>
  <si>
    <t>Assurance vie des employés</t>
  </si>
  <si>
    <t>EMPLOYÉ</t>
  </si>
  <si>
    <t>Assurance vie des personnes à charge</t>
  </si>
  <si>
    <t>EMPLOYEUR</t>
  </si>
  <si>
    <t xml:space="preserve">moins </t>
  </si>
  <si>
    <t>Assurance décès et mutilation par accident</t>
  </si>
  <si>
    <t>ass. inv long terme</t>
  </si>
  <si>
    <t xml:space="preserve">Assurance invalidité de court durée </t>
  </si>
  <si>
    <t>provincial</t>
  </si>
  <si>
    <t>DEVIENT L'AVANTAGE IMPOSABLE</t>
  </si>
  <si>
    <t xml:space="preserve">mensuel </t>
  </si>
  <si>
    <t>Assurance invalidité de longue durée</t>
  </si>
  <si>
    <t xml:space="preserve">par 26 periodes </t>
  </si>
  <si>
    <t>Assurance maladie (soins médicaux)</t>
  </si>
  <si>
    <t>1 avril au 31 dec.</t>
  </si>
  <si>
    <t>Assurance MALADIE (soins médicaux)</t>
  </si>
  <si>
    <t>Prime mensuelle</t>
  </si>
  <si>
    <t>Prime ANNUELLE</t>
  </si>
  <si>
    <t>Prime 2023</t>
  </si>
  <si>
    <t>Individuelle</t>
  </si>
  <si>
    <t xml:space="preserve">Prime totale : </t>
  </si>
  <si>
    <t>Familiale</t>
  </si>
  <si>
    <t xml:space="preserve">Part employé : </t>
  </si>
  <si>
    <t xml:space="preserve">Part employeur : </t>
  </si>
  <si>
    <t>Période</t>
  </si>
  <si>
    <t>Taux</t>
  </si>
  <si>
    <t>Mensuel</t>
  </si>
  <si>
    <t>Annuel</t>
  </si>
  <si>
    <t>Ass. Vie de base de l'employé (Ass. VIE)</t>
  </si>
  <si>
    <t>Calcul Avantage Imposable (Provincial)</t>
  </si>
  <si>
    <t>Ass. Décès Mutilation Accident (DMA)</t>
  </si>
  <si>
    <t>(Ass. VIE + DMA + Vie PAC + MALADIE)*1.09</t>
  </si>
  <si>
    <t>Ass. Vie des Pers. à charges (Vie PAC)</t>
  </si>
  <si>
    <t>Invalidité courte durée</t>
  </si>
  <si>
    <t>Calcul Avantage Imposable (Fédéral)</t>
  </si>
  <si>
    <t>Invalidité longue durée</t>
  </si>
  <si>
    <t>(Ass. Vie + DMA + Vie PAC)*1.09</t>
  </si>
  <si>
    <t>Taxes</t>
  </si>
  <si>
    <t>24 Périodes</t>
  </si>
  <si>
    <t>26 Périodes</t>
  </si>
  <si>
    <t>PRIME de l'EMPLOYÉ</t>
  </si>
  <si>
    <t xml:space="preserve">PRIME de l'EMPLOYEUR </t>
  </si>
  <si>
    <t>AVANTAGE IMPOSABLE PROVINCIAL</t>
  </si>
  <si>
    <t>AVANTAGE IMPOSABLE FÉDÉRAL</t>
  </si>
  <si>
    <t>Assurance collective - Fabriques</t>
  </si>
  <si>
    <t>Prime+ taxes</t>
  </si>
  <si>
    <t>Assurance vie des employés*</t>
  </si>
  <si>
    <t>Assurance décès et mutilation par accident*</t>
  </si>
  <si>
    <r>
      <t>Assurance invalidité de court durée (</t>
    </r>
    <r>
      <rPr>
        <sz val="12"/>
        <color rgb="FFFF0000"/>
        <rFont val="Arial"/>
        <family val="2"/>
      </rPr>
      <t>Non admissible - FIN à 65 ans</t>
    </r>
    <r>
      <rPr>
        <sz val="12"/>
        <rFont val="Arial"/>
        <family val="2"/>
      </rPr>
      <t>)</t>
    </r>
  </si>
  <si>
    <r>
      <t>Assurance invalidité de longue durée (</t>
    </r>
    <r>
      <rPr>
        <sz val="12"/>
        <color rgb="FFFF0000"/>
        <rFont val="Arial"/>
        <family val="2"/>
      </rPr>
      <t>Non admissible - FIN à 65 ans</t>
    </r>
    <r>
      <rPr>
        <sz val="12"/>
        <rFont val="Arial"/>
        <family val="2"/>
      </rPr>
      <t>)</t>
    </r>
  </si>
  <si>
    <r>
      <rPr>
        <sz val="12"/>
        <rFont val="Arial"/>
        <family val="2"/>
      </rPr>
      <t>*</t>
    </r>
    <r>
      <rPr>
        <sz val="9"/>
        <rFont val="Arial"/>
        <family val="2"/>
      </rPr>
      <t xml:space="preserve"> : Une seule fois le salaire annuel et non 2 fois le salaire comme pour les 64 ans et moins, car réduit de moitié à 65 ans.</t>
    </r>
  </si>
  <si>
    <t>N/A</t>
  </si>
  <si>
    <r>
      <t xml:space="preserve">Assurance vie des employés </t>
    </r>
    <r>
      <rPr>
        <sz val="10"/>
        <color rgb="FF0000FF"/>
        <rFont val="Arial"/>
        <family val="2"/>
      </rPr>
      <t xml:space="preserve">(Non admissible - FIN à </t>
    </r>
    <r>
      <rPr>
        <b/>
        <u/>
        <sz val="10"/>
        <color rgb="FF0000FF"/>
        <rFont val="Arial"/>
        <family val="2"/>
      </rPr>
      <t>70</t>
    </r>
    <r>
      <rPr>
        <sz val="10"/>
        <color rgb="FF0000FF"/>
        <rFont val="Arial"/>
        <family val="2"/>
      </rPr>
      <t xml:space="preserve"> ans)</t>
    </r>
  </si>
  <si>
    <r>
      <t xml:space="preserve">Assurance décès et mutilation par accident </t>
    </r>
    <r>
      <rPr>
        <sz val="10"/>
        <color rgb="FF0000FF"/>
        <rFont val="Arial"/>
        <family val="2"/>
      </rPr>
      <t xml:space="preserve">(Non admissible - FIN à </t>
    </r>
    <r>
      <rPr>
        <b/>
        <u/>
        <sz val="10"/>
        <color rgb="FF0000FF"/>
        <rFont val="Arial"/>
        <family val="2"/>
      </rPr>
      <t>70</t>
    </r>
    <r>
      <rPr>
        <sz val="10"/>
        <color rgb="FF0000FF"/>
        <rFont val="Arial"/>
        <family val="2"/>
      </rPr>
      <t xml:space="preserve"> ans)</t>
    </r>
  </si>
  <si>
    <r>
      <t xml:space="preserve">Assurance invalidité de court durée </t>
    </r>
    <r>
      <rPr>
        <sz val="10"/>
        <rFont val="Arial"/>
        <family val="2"/>
      </rPr>
      <t>(</t>
    </r>
    <r>
      <rPr>
        <sz val="10"/>
        <color rgb="FFFF0000"/>
        <rFont val="Arial"/>
        <family val="2"/>
      </rPr>
      <t xml:space="preserve">Non admissible - FIN à </t>
    </r>
    <r>
      <rPr>
        <b/>
        <u/>
        <sz val="10"/>
        <color rgb="FFFF0000"/>
        <rFont val="Arial"/>
        <family val="2"/>
      </rPr>
      <t>65</t>
    </r>
    <r>
      <rPr>
        <sz val="10"/>
        <color rgb="FFFF0000"/>
        <rFont val="Arial"/>
        <family val="2"/>
      </rPr>
      <t xml:space="preserve"> ans</t>
    </r>
    <r>
      <rPr>
        <sz val="10"/>
        <rFont val="Arial"/>
        <family val="2"/>
      </rPr>
      <t>)</t>
    </r>
  </si>
  <si>
    <r>
      <t xml:space="preserve">Assurance invalidité de longue durée </t>
    </r>
    <r>
      <rPr>
        <sz val="10"/>
        <rFont val="Arial"/>
        <family val="2"/>
      </rPr>
      <t>(</t>
    </r>
    <r>
      <rPr>
        <sz val="10"/>
        <color rgb="FFFF0000"/>
        <rFont val="Arial"/>
        <family val="2"/>
      </rPr>
      <t xml:space="preserve">Non admissible - FIN à </t>
    </r>
    <r>
      <rPr>
        <b/>
        <u/>
        <sz val="10"/>
        <color rgb="FFFF0000"/>
        <rFont val="Arial"/>
        <family val="2"/>
      </rPr>
      <t>65</t>
    </r>
    <r>
      <rPr>
        <sz val="10"/>
        <color rgb="FFFF0000"/>
        <rFont val="Arial"/>
        <family val="2"/>
      </rPr>
      <t xml:space="preserve"> ans</t>
    </r>
    <r>
      <rPr>
        <sz val="10"/>
        <rFont val="Arial"/>
        <family val="2"/>
      </rPr>
      <t>)</t>
    </r>
  </si>
  <si>
    <t>(ASS.VIE+DMA+VIE PAC+MALADIE)* 1.09</t>
  </si>
  <si>
    <t>Calcul av.fédéral</t>
  </si>
  <si>
    <t>(Vie + Vie PAC + DMA)*1,09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</si>
</sst>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#,##0.00\ &quot;$&quot;;[Red]#,##0.00\ &quot;$&quot;"/>
    <numFmt numFmtId="165" formatCode="#,##0.00\ &quot;$&quot;"/>
    <numFmt numFmtId="166" formatCode="0.000"/>
    <numFmt numFmtId="167" formatCode="#,##0\ &quot;$&quot;"/>
  </numFmts>
  <fonts count="32" x14ac:knownFonts="1">
    <font>
      <sz val="10"/>
      <name val="Arial"/>
      <family val="2"/>
    </font>
    <font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color rgb="FF0000FF"/>
      <name val="Calibri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FF"/>
      <name val="Calibri"/>
      <family val="2"/>
    </font>
    <font>
      <sz val="12"/>
      <color rgb="FFFF0000"/>
      <name val="Arial"/>
      <family val="2"/>
    </font>
    <font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49" fontId="8" fillId="3" borderId="0" xfId="0" applyNumberFormat="1" applyFont="1" applyFill="1" applyAlignment="1">
      <alignment horizontal="center"/>
    </xf>
    <xf numFmtId="14" fontId="0" fillId="0" borderId="0" xfId="0" applyNumberFormat="1"/>
    <xf numFmtId="0" fontId="9" fillId="0" borderId="0" xfId="0" applyFont="1"/>
    <xf numFmtId="165" fontId="10" fillId="2" borderId="0" xfId="0" applyNumberFormat="1" applyFont="1" applyFill="1" applyProtection="1">
      <protection locked="0"/>
    </xf>
    <xf numFmtId="0" fontId="1" fillId="0" borderId="0" xfId="0" quotePrefix="1" applyFont="1"/>
    <xf numFmtId="14" fontId="12" fillId="0" borderId="0" xfId="0" applyNumberFormat="1" applyFont="1"/>
    <xf numFmtId="164" fontId="1" fillId="0" borderId="0" xfId="0" applyNumberFormat="1" applyFont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14" fillId="0" borderId="4" xfId="0" applyFont="1" applyBorder="1"/>
    <xf numFmtId="164" fontId="14" fillId="0" borderId="4" xfId="0" applyNumberFormat="1" applyFont="1" applyBorder="1"/>
    <xf numFmtId="164" fontId="15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14" fillId="0" borderId="0" xfId="0" applyFont="1"/>
    <xf numFmtId="164" fontId="14" fillId="0" borderId="0" xfId="0" applyNumberFormat="1" applyFont="1"/>
    <xf numFmtId="164" fontId="15" fillId="0" borderId="0" xfId="0" applyNumberFormat="1" applyFont="1"/>
    <xf numFmtId="164" fontId="0" fillId="0" borderId="7" xfId="0" applyNumberFormat="1" applyBorder="1"/>
    <xf numFmtId="0" fontId="0" fillId="0" borderId="8" xfId="0" applyBorder="1"/>
    <xf numFmtId="0" fontId="0" fillId="0" borderId="7" xfId="0" applyBorder="1"/>
    <xf numFmtId="164" fontId="0" fillId="0" borderId="9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7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" fillId="0" borderId="12" xfId="0" applyFont="1" applyBorder="1"/>
    <xf numFmtId="165" fontId="1" fillId="5" borderId="13" xfId="0" applyNumberFormat="1" applyFont="1" applyFill="1" applyBorder="1"/>
    <xf numFmtId="165" fontId="1" fillId="0" borderId="0" xfId="0" applyNumberFormat="1" applyFont="1"/>
    <xf numFmtId="164" fontId="6" fillId="0" borderId="14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0" borderId="15" xfId="0" applyFont="1" applyBorder="1"/>
    <xf numFmtId="165" fontId="1" fillId="5" borderId="16" xfId="0" applyNumberFormat="1" applyFont="1" applyFill="1" applyBorder="1"/>
    <xf numFmtId="0" fontId="0" fillId="0" borderId="0" xfId="0" applyAlignment="1">
      <alignment horizontal="right"/>
    </xf>
    <xf numFmtId="164" fontId="6" fillId="0" borderId="0" xfId="0" applyNumberFormat="1" applyFont="1" applyAlignment="1">
      <alignment horizontal="center"/>
    </xf>
    <xf numFmtId="0" fontId="1" fillId="0" borderId="17" xfId="0" applyFont="1" applyBorder="1"/>
    <xf numFmtId="165" fontId="1" fillId="0" borderId="18" xfId="0" applyNumberFormat="1" applyFont="1" applyBorder="1"/>
    <xf numFmtId="0" fontId="1" fillId="0" borderId="0" xfId="0" applyFont="1"/>
    <xf numFmtId="164" fontId="6" fillId="0" borderId="0" xfId="0" applyNumberFormat="1" applyFont="1"/>
    <xf numFmtId="0" fontId="19" fillId="0" borderId="0" xfId="0" applyFont="1"/>
    <xf numFmtId="165" fontId="13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9" fillId="0" borderId="0" xfId="0" applyNumberFormat="1" applyFont="1"/>
    <xf numFmtId="0" fontId="1" fillId="0" borderId="19" xfId="0" applyFont="1" applyBorder="1"/>
    <xf numFmtId="166" fontId="0" fillId="5" borderId="13" xfId="0" applyNumberFormat="1" applyFill="1" applyBorder="1"/>
    <xf numFmtId="164" fontId="1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20" xfId="0" applyFont="1" applyBorder="1"/>
    <xf numFmtId="166" fontId="0" fillId="5" borderId="21" xfId="0" applyNumberFormat="1" applyFill="1" applyBorder="1"/>
    <xf numFmtId="0" fontId="14" fillId="0" borderId="0" xfId="0" applyFont="1" applyAlignment="1">
      <alignment horizontal="center"/>
    </xf>
    <xf numFmtId="0" fontId="1" fillId="0" borderId="22" xfId="0" applyFont="1" applyBorder="1"/>
    <xf numFmtId="2" fontId="0" fillId="5" borderId="23" xfId="0" applyNumberFormat="1" applyFill="1" applyBorder="1"/>
    <xf numFmtId="0" fontId="0" fillId="0" borderId="22" xfId="0" applyBorder="1"/>
    <xf numFmtId="166" fontId="0" fillId="5" borderId="23" xfId="0" applyNumberFormat="1" applyFill="1" applyBorder="1"/>
    <xf numFmtId="0" fontId="0" fillId="0" borderId="17" xfId="0" applyBorder="1"/>
    <xf numFmtId="9" fontId="0" fillId="0" borderId="18" xfId="0" applyNumberFormat="1" applyBorder="1"/>
    <xf numFmtId="0" fontId="9" fillId="0" borderId="0" xfId="0" applyFont="1" applyAlignment="1">
      <alignment horizontal="center"/>
    </xf>
    <xf numFmtId="9" fontId="0" fillId="0" borderId="0" xfId="0" applyNumberForma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3" fillId="0" borderId="0" xfId="0" applyFont="1"/>
    <xf numFmtId="164" fontId="1" fillId="0" borderId="0" xfId="0" applyNumberFormat="1" applyFont="1"/>
    <xf numFmtId="165" fontId="14" fillId="0" borderId="4" xfId="0" applyNumberFormat="1" applyFont="1" applyBorder="1"/>
    <xf numFmtId="44" fontId="14" fillId="0" borderId="4" xfId="1" applyFont="1" applyFill="1" applyBorder="1"/>
    <xf numFmtId="164" fontId="13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166" fontId="1" fillId="5" borderId="23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4" fontId="14" fillId="0" borderId="4" xfId="0" applyNumberFormat="1" applyFont="1" applyBorder="1"/>
    <xf numFmtId="0" fontId="20" fillId="0" borderId="0" xfId="0" applyFont="1" applyAlignment="1">
      <alignment horizontal="right"/>
    </xf>
    <xf numFmtId="164" fontId="30" fillId="0" borderId="0" xfId="0" applyNumberFormat="1" applyFont="1" applyAlignment="1">
      <alignment horizontal="center"/>
    </xf>
    <xf numFmtId="0" fontId="31" fillId="0" borderId="4" xfId="0" applyFont="1" applyBorder="1"/>
    <xf numFmtId="167" fontId="10" fillId="2" borderId="0" xfId="0" applyNumberFormat="1" applyFont="1" applyFill="1" applyProtection="1"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2" borderId="0" xfId="0" applyFont="1" applyFill="1" applyAlignment="1" applyProtection="1">
      <alignment horizontal="center"/>
      <protection locked="0"/>
    </xf>
  </cellXfs>
  <cellStyles count="2">
    <cellStyle name="Monétaire 2" xfId="1" xr:uid="{2640586E-43FF-4C31-BFA8-7A2EA99E409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FS-01\Departements\RessourcesHumaines\SERVICE%20DE%20PAIE\2%20-%20FABRIQUES\2024%20-%20CALCUL%20Assurance%20Collective%20(personnel%20en%20PAROISSE)%20-%20Copie.xlsx" TargetMode="External"/><Relationship Id="rId1" Type="http://schemas.openxmlformats.org/officeDocument/2006/relationships/externalLinkPath" Target="2024%20-%20CALCUL%20Assurance%20Collective%20(personnel%20en%20PAROISSE)%20-%20C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4 ans et moins"/>
      <sheetName val="65 ans et +"/>
      <sheetName val="70 ans et"/>
      <sheetName val="Participants"/>
    </sheetNames>
    <sheetDataSet>
      <sheetData sheetId="0">
        <row r="3">
          <cell r="G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894C-6082-4DC6-800B-B8D1C35299B5}">
  <sheetPr>
    <tabColor rgb="FF00FF00"/>
    <pageSetUpPr fitToPage="1"/>
  </sheetPr>
  <dimension ref="A3:U55"/>
  <sheetViews>
    <sheetView tabSelected="1" zoomScaleNormal="100" workbookViewId="0">
      <selection activeCell="C10" sqref="C10:D10"/>
    </sheetView>
  </sheetViews>
  <sheetFormatPr baseColWidth="10" defaultColWidth="11.42578125" defaultRowHeight="12.75" x14ac:dyDescent="0.2"/>
  <cols>
    <col min="1" max="1" width="42.85546875" customWidth="1"/>
    <col min="2" max="2" width="15.7109375" customWidth="1"/>
    <col min="3" max="3" width="23.7109375" customWidth="1"/>
    <col min="4" max="4" width="9.7109375" customWidth="1"/>
    <col min="5" max="5" width="11.28515625" customWidth="1"/>
    <col min="6" max="6" width="13.7109375" customWidth="1"/>
    <col min="7" max="7" width="15.5703125" style="2" customWidth="1"/>
    <col min="8" max="8" width="13.28515625" bestFit="1" customWidth="1"/>
    <col min="9" max="12" width="14.42578125" hidden="1" customWidth="1"/>
    <col min="13" max="17" width="0" hidden="1" customWidth="1"/>
    <col min="18" max="18" width="14.28515625" hidden="1" customWidth="1"/>
    <col min="19" max="19" width="12.85546875" hidden="1" customWidth="1"/>
  </cols>
  <sheetData>
    <row r="3" spans="1:21" ht="27.75" x14ac:dyDescent="0.4">
      <c r="A3" s="87" t="s">
        <v>0</v>
      </c>
      <c r="B3" s="87"/>
      <c r="C3" s="87"/>
      <c r="D3" s="87"/>
      <c r="E3" s="87"/>
      <c r="F3" s="87"/>
      <c r="G3" s="1">
        <v>2024</v>
      </c>
      <c r="S3" s="2"/>
    </row>
    <row r="4" spans="1:21" ht="20.25" x14ac:dyDescent="0.3">
      <c r="B4" s="3"/>
      <c r="C4" s="3"/>
      <c r="D4" s="3"/>
      <c r="E4" s="3"/>
      <c r="G4" s="4"/>
    </row>
    <row r="5" spans="1:21" ht="20.25" x14ac:dyDescent="0.3">
      <c r="B5" s="3"/>
      <c r="C5" s="3"/>
      <c r="D5" s="3"/>
      <c r="E5" s="3"/>
      <c r="G5" s="4"/>
    </row>
    <row r="6" spans="1:21" ht="20.25" x14ac:dyDescent="0.3">
      <c r="A6" s="5" t="s">
        <v>1</v>
      </c>
      <c r="B6" s="88"/>
      <c r="C6" s="88"/>
      <c r="D6" s="88"/>
      <c r="E6" s="3"/>
      <c r="G6" s="4"/>
    </row>
    <row r="7" spans="1:21" ht="18" x14ac:dyDescent="0.25">
      <c r="A7" s="6"/>
    </row>
    <row r="8" spans="1:21" ht="18.75" x14ac:dyDescent="0.3">
      <c r="A8" s="5" t="s">
        <v>3</v>
      </c>
      <c r="B8" s="89"/>
      <c r="C8" s="89"/>
      <c r="D8" s="89"/>
      <c r="G8" s="7" t="s">
        <v>4</v>
      </c>
      <c r="H8" s="8"/>
    </row>
    <row r="9" spans="1:21" ht="18" x14ac:dyDescent="0.25">
      <c r="A9" s="9"/>
    </row>
    <row r="10" spans="1:21" ht="18" x14ac:dyDescent="0.25">
      <c r="A10" s="5" t="s">
        <v>5</v>
      </c>
      <c r="B10" s="10"/>
      <c r="C10" s="90" t="s">
        <v>6</v>
      </c>
      <c r="D10" s="90"/>
      <c r="E10" s="11" t="s">
        <v>7</v>
      </c>
      <c r="G10" s="12">
        <f ca="1">TODAY()</f>
        <v>45337</v>
      </c>
      <c r="S10" s="2"/>
    </row>
    <row r="11" spans="1:21" x14ac:dyDescent="0.2">
      <c r="F11" s="2"/>
      <c r="M11" t="s">
        <v>8</v>
      </c>
      <c r="S11" s="2"/>
      <c r="T11" s="2"/>
      <c r="U11" s="2"/>
    </row>
    <row r="12" spans="1:21" ht="12.75" customHeight="1" thickBot="1" x14ac:dyDescent="0.25">
      <c r="F12" s="13" t="s">
        <v>9</v>
      </c>
      <c r="G12" s="13" t="s">
        <v>10</v>
      </c>
      <c r="J12" t="s">
        <v>11</v>
      </c>
      <c r="T12" s="2"/>
    </row>
    <row r="13" spans="1:21" x14ac:dyDescent="0.2">
      <c r="F13" s="2"/>
      <c r="M13" s="14" t="s">
        <v>12</v>
      </c>
      <c r="N13" s="15" t="s">
        <v>13</v>
      </c>
      <c r="O13" s="16"/>
      <c r="P13" s="17">
        <f>G29</f>
        <v>0</v>
      </c>
      <c r="Q13" s="16" t="s">
        <v>14</v>
      </c>
      <c r="R13" s="16"/>
      <c r="S13" s="18"/>
    </row>
    <row r="14" spans="1:21" ht="15.75" x14ac:dyDescent="0.25">
      <c r="A14" s="19" t="s">
        <v>15</v>
      </c>
      <c r="B14" s="19"/>
      <c r="C14" s="19"/>
      <c r="D14" s="19">
        <f>(($B$10*2)/1000)</f>
        <v>0</v>
      </c>
      <c r="E14" s="19">
        <f>ROUNDUP(D14,0)</f>
        <v>0</v>
      </c>
      <c r="F14" s="20">
        <f>ROUND(E14*B35,2)</f>
        <v>0</v>
      </c>
      <c r="G14" s="21">
        <f>F14*1.09</f>
        <v>0</v>
      </c>
      <c r="H14" s="19"/>
      <c r="J14" s="2">
        <f>G14*12</f>
        <v>0</v>
      </c>
      <c r="K14" s="2">
        <f>J14/26</f>
        <v>0</v>
      </c>
      <c r="L14" s="2">
        <f>K14/2</f>
        <v>0</v>
      </c>
      <c r="M14" s="22"/>
      <c r="S14" s="23"/>
    </row>
    <row r="15" spans="1:21" ht="15.75" x14ac:dyDescent="0.25">
      <c r="A15" s="24"/>
      <c r="B15" s="24"/>
      <c r="C15" s="24"/>
      <c r="D15" s="24"/>
      <c r="E15" s="24"/>
      <c r="F15" s="25"/>
      <c r="G15" s="26"/>
      <c r="H15" s="24"/>
      <c r="J15" s="2">
        <f t="shared" ref="J15:J24" si="0">G15*12</f>
        <v>0</v>
      </c>
      <c r="K15" s="2">
        <f t="shared" ref="K15:K24" si="1">J15/26</f>
        <v>0</v>
      </c>
      <c r="L15" s="2">
        <f t="shared" ref="L15:L24" si="2">K15/2</f>
        <v>0</v>
      </c>
      <c r="M15" s="22"/>
      <c r="O15" s="2"/>
      <c r="P15" s="2">
        <f>P13/2</f>
        <v>0</v>
      </c>
      <c r="Q15" s="2" t="s">
        <v>16</v>
      </c>
      <c r="R15" s="2"/>
      <c r="S15" s="23"/>
    </row>
    <row r="16" spans="1:21" ht="15.75" x14ac:dyDescent="0.25">
      <c r="A16" s="19" t="s">
        <v>17</v>
      </c>
      <c r="B16" s="19"/>
      <c r="C16" s="19"/>
      <c r="D16" s="19"/>
      <c r="E16" s="19"/>
      <c r="F16" s="20">
        <f>IF(C10="FAMILIALE",B37,0)</f>
        <v>0</v>
      </c>
      <c r="G16" s="21">
        <f t="shared" ref="G16:G24" si="3">F16*1.09</f>
        <v>0</v>
      </c>
      <c r="H16" s="19"/>
      <c r="J16" s="2">
        <f t="shared" si="0"/>
        <v>0</v>
      </c>
      <c r="K16" s="2">
        <f t="shared" si="1"/>
        <v>0</v>
      </c>
      <c r="L16" s="2">
        <f t="shared" si="2"/>
        <v>0</v>
      </c>
      <c r="M16" s="22"/>
      <c r="P16" s="2">
        <f>P13/2</f>
        <v>0</v>
      </c>
      <c r="Q16" t="s">
        <v>18</v>
      </c>
      <c r="S16" s="23"/>
    </row>
    <row r="17" spans="1:19" ht="15.75" x14ac:dyDescent="0.25">
      <c r="A17" s="24"/>
      <c r="B17" s="24"/>
      <c r="C17" s="24"/>
      <c r="D17" s="24"/>
      <c r="E17" s="24"/>
      <c r="F17" s="25"/>
      <c r="G17" s="26"/>
      <c r="H17" s="24"/>
      <c r="J17" s="2">
        <f t="shared" si="0"/>
        <v>0</v>
      </c>
      <c r="K17" s="2">
        <f t="shared" si="1"/>
        <v>0</v>
      </c>
      <c r="L17" s="2">
        <f t="shared" si="2"/>
        <v>0</v>
      </c>
      <c r="M17" s="22"/>
      <c r="O17" t="s">
        <v>19</v>
      </c>
      <c r="S17" s="23"/>
    </row>
    <row r="18" spans="1:19" ht="16.5" thickBot="1" x14ac:dyDescent="0.3">
      <c r="A18" s="19" t="s">
        <v>20</v>
      </c>
      <c r="B18" s="19"/>
      <c r="C18" s="19"/>
      <c r="D18" s="19">
        <f>(B10*2)/1000</f>
        <v>0</v>
      </c>
      <c r="E18" s="19">
        <f>ROUNDUP(D18,0)</f>
        <v>0</v>
      </c>
      <c r="F18" s="20">
        <f>ROUND(E18*B36,2)</f>
        <v>0</v>
      </c>
      <c r="G18" s="21">
        <f t="shared" si="3"/>
        <v>0</v>
      </c>
      <c r="H18" s="19"/>
      <c r="J18" s="2">
        <f t="shared" si="0"/>
        <v>0</v>
      </c>
      <c r="K18" s="2">
        <f t="shared" si="1"/>
        <v>0</v>
      </c>
      <c r="L18" s="2">
        <f t="shared" si="2"/>
        <v>0</v>
      </c>
      <c r="M18" s="22"/>
      <c r="P18" s="27">
        <f>ROUND((F20/2)*1.09,2)</f>
        <v>0</v>
      </c>
      <c r="Q18" t="s">
        <v>21</v>
      </c>
      <c r="S18" s="23"/>
    </row>
    <row r="19" spans="1:19" ht="16.5" thickBot="1" x14ac:dyDescent="0.3">
      <c r="A19" s="24"/>
      <c r="B19" s="24"/>
      <c r="C19" s="24"/>
      <c r="D19" s="24"/>
      <c r="E19" s="24"/>
      <c r="F19" s="25"/>
      <c r="G19" s="26"/>
      <c r="H19" s="24"/>
      <c r="J19" s="2">
        <f t="shared" si="0"/>
        <v>0</v>
      </c>
      <c r="K19" s="2">
        <f t="shared" si="1"/>
        <v>0</v>
      </c>
      <c r="L19" s="2">
        <f t="shared" si="2"/>
        <v>0</v>
      </c>
      <c r="M19" s="22"/>
      <c r="P19" s="27">
        <f>ROUND((F22/2)*1.09,2)</f>
        <v>0</v>
      </c>
      <c r="S19" s="23"/>
    </row>
    <row r="20" spans="1:19" ht="15.75" x14ac:dyDescent="0.25">
      <c r="A20" s="19" t="s">
        <v>22</v>
      </c>
      <c r="B20" s="19"/>
      <c r="C20" s="19"/>
      <c r="D20" s="19"/>
      <c r="E20" s="19"/>
      <c r="F20" s="20">
        <f>ROUND((ROUNDUP(B10*0.7/52,0)*B38)/10,2)</f>
        <v>0</v>
      </c>
      <c r="G20" s="21">
        <f>F20*1.09</f>
        <v>0</v>
      </c>
      <c r="H20" s="19"/>
      <c r="J20" s="2">
        <f>G20*12</f>
        <v>0</v>
      </c>
      <c r="K20" s="2">
        <f t="shared" si="1"/>
        <v>0</v>
      </c>
      <c r="L20" s="2">
        <f t="shared" si="2"/>
        <v>0</v>
      </c>
      <c r="M20" s="22"/>
      <c r="O20" t="s">
        <v>23</v>
      </c>
      <c r="P20" s="2">
        <f>P16-P18-P19</f>
        <v>0</v>
      </c>
      <c r="Q20" t="s">
        <v>24</v>
      </c>
      <c r="S20" s="23"/>
    </row>
    <row r="21" spans="1:19" ht="15.75" x14ac:dyDescent="0.25">
      <c r="A21" s="24"/>
      <c r="B21" s="24"/>
      <c r="C21" s="24"/>
      <c r="D21" s="24"/>
      <c r="E21" s="24"/>
      <c r="F21" s="25"/>
      <c r="G21" s="26"/>
      <c r="H21" s="24"/>
      <c r="J21" s="2">
        <f t="shared" si="0"/>
        <v>0</v>
      </c>
      <c r="K21" s="2">
        <f t="shared" si="1"/>
        <v>0</v>
      </c>
      <c r="L21" s="2">
        <f t="shared" si="2"/>
        <v>0</v>
      </c>
      <c r="M21" s="22"/>
      <c r="P21" t="s">
        <v>25</v>
      </c>
      <c r="S21" s="23"/>
    </row>
    <row r="22" spans="1:19" ht="16.5" thickBot="1" x14ac:dyDescent="0.3">
      <c r="A22" s="19" t="s">
        <v>26</v>
      </c>
      <c r="B22" s="19"/>
      <c r="C22" s="19"/>
      <c r="D22" s="19"/>
      <c r="E22" s="19"/>
      <c r="F22" s="20">
        <f>ROUND((ROUNDUP(B10*0.7/12,0)*B39)/100,2)</f>
        <v>0</v>
      </c>
      <c r="G22" s="21">
        <f>F22*1.09</f>
        <v>0</v>
      </c>
      <c r="H22" s="19"/>
      <c r="J22" s="2">
        <f t="shared" si="0"/>
        <v>0</v>
      </c>
      <c r="K22" s="2">
        <f t="shared" si="1"/>
        <v>0</v>
      </c>
      <c r="L22" s="2">
        <f t="shared" si="2"/>
        <v>0</v>
      </c>
      <c r="M22" s="28"/>
      <c r="N22" s="29"/>
      <c r="O22" s="29"/>
      <c r="P22" s="29"/>
      <c r="Q22" s="29"/>
      <c r="R22" s="29" t="s">
        <v>27</v>
      </c>
      <c r="S22" s="30">
        <f>P20*12/26</f>
        <v>0</v>
      </c>
    </row>
    <row r="23" spans="1:19" ht="15.75" x14ac:dyDescent="0.25">
      <c r="A23" s="24"/>
      <c r="B23" s="24"/>
      <c r="C23" s="24"/>
      <c r="D23" s="24"/>
      <c r="E23" s="24"/>
      <c r="F23" s="25"/>
      <c r="G23" s="26"/>
      <c r="H23" s="24"/>
      <c r="J23" s="2">
        <f t="shared" si="0"/>
        <v>0</v>
      </c>
      <c r="K23" s="2">
        <f t="shared" si="1"/>
        <v>0</v>
      </c>
      <c r="L23" s="2">
        <f t="shared" si="2"/>
        <v>0</v>
      </c>
    </row>
    <row r="24" spans="1:19" ht="15.75" x14ac:dyDescent="0.25">
      <c r="A24" s="19" t="s">
        <v>28</v>
      </c>
      <c r="B24" s="19"/>
      <c r="C24" s="19"/>
      <c r="D24" s="19"/>
      <c r="E24" s="19"/>
      <c r="F24" s="20">
        <f>IF($C$10="FAMILIALE",B30,(IF($C$10="INDIVIDUELLE",B29,B31)))</f>
        <v>0</v>
      </c>
      <c r="G24" s="21">
        <f t="shared" si="3"/>
        <v>0</v>
      </c>
      <c r="H24" s="19"/>
      <c r="J24" s="2">
        <f t="shared" si="0"/>
        <v>0</v>
      </c>
      <c r="K24" s="2">
        <f t="shared" si="1"/>
        <v>0</v>
      </c>
      <c r="L24" s="2">
        <f t="shared" si="2"/>
        <v>0</v>
      </c>
    </row>
    <row r="25" spans="1:19" x14ac:dyDescent="0.2">
      <c r="K25" s="2"/>
      <c r="L25" s="2"/>
    </row>
    <row r="26" spans="1:19" x14ac:dyDescent="0.2">
      <c r="F26" s="2"/>
      <c r="I26" s="2"/>
      <c r="J26" s="2"/>
    </row>
    <row r="27" spans="1:19" ht="13.5" thickBot="1" x14ac:dyDescent="0.25">
      <c r="I27" s="13" t="s">
        <v>29</v>
      </c>
      <c r="J27" s="2"/>
      <c r="N27" s="2"/>
    </row>
    <row r="28" spans="1:19" ht="13.5" thickBot="1" x14ac:dyDescent="0.25">
      <c r="A28" s="91" t="s">
        <v>30</v>
      </c>
      <c r="B28" s="92"/>
      <c r="F28" s="31"/>
      <c r="G28" s="32" t="s">
        <v>31</v>
      </c>
      <c r="H28" s="33" t="s">
        <v>32</v>
      </c>
      <c r="I28" s="34" t="s">
        <v>33</v>
      </c>
    </row>
    <row r="29" spans="1:19" ht="15.75" thickBot="1" x14ac:dyDescent="0.25">
      <c r="A29" s="35" t="s">
        <v>34</v>
      </c>
      <c r="B29" s="36">
        <v>173.75</v>
      </c>
      <c r="C29" s="37"/>
      <c r="E29" s="86" t="s">
        <v>35</v>
      </c>
      <c r="F29" s="86"/>
      <c r="G29" s="38">
        <f>ROUND(SUM(G14:G28),2)</f>
        <v>0</v>
      </c>
      <c r="H29" s="39">
        <f>G29*12</f>
        <v>0</v>
      </c>
      <c r="I29" s="40">
        <f>G29*9</f>
        <v>0</v>
      </c>
      <c r="J29" s="2"/>
      <c r="K29" s="2"/>
    </row>
    <row r="30" spans="1:19" ht="15.75" thickTop="1" x14ac:dyDescent="0.2">
      <c r="A30" s="41" t="s">
        <v>36</v>
      </c>
      <c r="B30" s="42">
        <v>415.27</v>
      </c>
      <c r="C30" s="37"/>
      <c r="E30" s="86" t="s">
        <v>37</v>
      </c>
      <c r="F30" s="94"/>
      <c r="G30" s="44">
        <f>G29/2</f>
        <v>0</v>
      </c>
      <c r="H30" s="32">
        <f>G30*12</f>
        <v>0</v>
      </c>
      <c r="I30" s="32">
        <f t="shared" ref="I30:I31" si="4">G30*9</f>
        <v>0</v>
      </c>
      <c r="J30" s="2"/>
      <c r="K30" s="2"/>
    </row>
    <row r="31" spans="1:19" ht="15" x14ac:dyDescent="0.2">
      <c r="A31" s="45" t="s">
        <v>6</v>
      </c>
      <c r="B31" s="46">
        <v>0</v>
      </c>
      <c r="C31" s="37"/>
      <c r="D31" s="2"/>
      <c r="E31" s="86" t="s">
        <v>38</v>
      </c>
      <c r="F31" s="94"/>
      <c r="G31" s="44">
        <f>G29/2</f>
        <v>0</v>
      </c>
      <c r="H31" s="32">
        <f>G31*12</f>
        <v>0</v>
      </c>
      <c r="I31" s="32">
        <f t="shared" si="4"/>
        <v>0</v>
      </c>
      <c r="J31" s="2"/>
    </row>
    <row r="32" spans="1:19" ht="15" x14ac:dyDescent="0.2">
      <c r="A32" s="47"/>
      <c r="B32" s="37"/>
      <c r="F32" s="2"/>
      <c r="G32" s="48"/>
      <c r="H32" s="2"/>
      <c r="I32" s="2"/>
      <c r="K32" s="2"/>
    </row>
    <row r="33" spans="1:12" ht="13.5" thickBot="1" x14ac:dyDescent="0.25">
      <c r="D33" s="49"/>
      <c r="F33" s="31"/>
      <c r="I33" s="31" t="s">
        <v>39</v>
      </c>
      <c r="K33" s="50"/>
    </row>
    <row r="34" spans="1:12" ht="15" customHeight="1" thickBot="1" x14ac:dyDescent="0.3">
      <c r="A34" s="91" t="s">
        <v>40</v>
      </c>
      <c r="B34" s="92"/>
      <c r="G34" s="51" t="s">
        <v>41</v>
      </c>
      <c r="H34" s="51" t="s">
        <v>42</v>
      </c>
      <c r="I34" s="52" t="s">
        <v>29</v>
      </c>
      <c r="K34" s="53"/>
      <c r="L34" s="53"/>
    </row>
    <row r="35" spans="1:12" ht="15" x14ac:dyDescent="0.2">
      <c r="A35" s="54" t="s">
        <v>43</v>
      </c>
      <c r="B35" s="55">
        <v>0.38200000000000001</v>
      </c>
      <c r="D35" s="95" t="s">
        <v>44</v>
      </c>
      <c r="E35" s="95"/>
      <c r="F35" s="95"/>
      <c r="G35" s="56">
        <f>ROUND(((F14+F18+F16+F24)/2*(1+B40)),2)</f>
        <v>0</v>
      </c>
      <c r="H35" s="56">
        <f>ROUND(G35*12,2)</f>
        <v>0</v>
      </c>
      <c r="I35" s="57">
        <f>G35*9</f>
        <v>0</v>
      </c>
      <c r="J35" s="58"/>
      <c r="K35" s="2"/>
      <c r="L35" s="58"/>
    </row>
    <row r="36" spans="1:12" ht="18" x14ac:dyDescent="0.25">
      <c r="A36" s="59" t="s">
        <v>45</v>
      </c>
      <c r="B36" s="60">
        <v>3.5999999999999997E-2</v>
      </c>
      <c r="D36" s="96" t="s">
        <v>46</v>
      </c>
      <c r="E36" s="96"/>
      <c r="F36" s="96"/>
      <c r="G36" s="61"/>
      <c r="H36" s="61"/>
      <c r="I36" s="53"/>
      <c r="J36" s="53"/>
      <c r="K36" s="2"/>
      <c r="L36" s="58"/>
    </row>
    <row r="37" spans="1:12" ht="15" x14ac:dyDescent="0.2">
      <c r="A37" s="62" t="s">
        <v>47</v>
      </c>
      <c r="B37" s="63">
        <v>6.16</v>
      </c>
      <c r="D37" s="47"/>
      <c r="G37" s="61"/>
      <c r="H37" s="61"/>
    </row>
    <row r="38" spans="1:12" ht="15" x14ac:dyDescent="0.2">
      <c r="A38" s="64" t="s">
        <v>48</v>
      </c>
      <c r="B38" s="65">
        <v>0.66300000000000003</v>
      </c>
      <c r="D38" s="95" t="s">
        <v>49</v>
      </c>
      <c r="E38" s="95"/>
      <c r="F38" s="95"/>
      <c r="G38" s="56">
        <f>ROUND(((F14+F16+F18)*1.09)/2,2)</f>
        <v>0</v>
      </c>
      <c r="H38" s="56">
        <f>G38*12</f>
        <v>0</v>
      </c>
      <c r="I38" s="57">
        <f>G38*9</f>
        <v>0</v>
      </c>
    </row>
    <row r="39" spans="1:12" x14ac:dyDescent="0.2">
      <c r="A39" s="64" t="s">
        <v>50</v>
      </c>
      <c r="B39" s="65">
        <v>3.3639999999999999</v>
      </c>
      <c r="D39" s="93" t="s">
        <v>51</v>
      </c>
      <c r="E39" s="93"/>
      <c r="F39" s="93"/>
      <c r="K39" s="58"/>
    </row>
    <row r="40" spans="1:12" ht="18" x14ac:dyDescent="0.25">
      <c r="A40" s="66" t="s">
        <v>52</v>
      </c>
      <c r="B40" s="67">
        <v>0.09</v>
      </c>
      <c r="G40" s="68"/>
      <c r="K40" s="53"/>
      <c r="L40" s="58"/>
    </row>
    <row r="41" spans="1:12" ht="21" customHeight="1" x14ac:dyDescent="0.25">
      <c r="B41" s="69"/>
      <c r="I41" s="58"/>
      <c r="J41" s="58"/>
      <c r="L41" s="53"/>
    </row>
    <row r="42" spans="1:12" x14ac:dyDescent="0.2">
      <c r="E42" s="70" t="s">
        <v>53</v>
      </c>
      <c r="F42" s="70" t="s">
        <v>54</v>
      </c>
      <c r="G42" s="71" t="s">
        <v>41</v>
      </c>
      <c r="H42" s="70" t="s">
        <v>42</v>
      </c>
    </row>
    <row r="43" spans="1:12" x14ac:dyDescent="0.2">
      <c r="E43" s="31"/>
      <c r="F43" s="31"/>
      <c r="G43" s="32"/>
      <c r="H43" s="31"/>
    </row>
    <row r="44" spans="1:12" x14ac:dyDescent="0.2">
      <c r="B44" s="72" t="s">
        <v>55</v>
      </c>
      <c r="C44" s="72"/>
      <c r="E44" s="32">
        <f>H44/24</f>
        <v>0</v>
      </c>
      <c r="F44" s="32">
        <f>H44/26</f>
        <v>0</v>
      </c>
      <c r="G44" s="32">
        <f>G29/2</f>
        <v>0</v>
      </c>
      <c r="H44" s="32">
        <f>G44*12</f>
        <v>0</v>
      </c>
    </row>
    <row r="45" spans="1:12" x14ac:dyDescent="0.2">
      <c r="B45" s="72"/>
      <c r="C45" s="72"/>
      <c r="D45" s="72"/>
      <c r="E45" s="31"/>
      <c r="F45" s="32"/>
      <c r="G45" s="32"/>
      <c r="H45" s="31"/>
      <c r="K45" s="58"/>
    </row>
    <row r="46" spans="1:12" x14ac:dyDescent="0.2">
      <c r="B46" s="72" t="s">
        <v>56</v>
      </c>
      <c r="C46" s="72"/>
      <c r="D46" s="72"/>
      <c r="E46" s="32">
        <f>H46/24</f>
        <v>0</v>
      </c>
      <c r="F46" s="32">
        <f>H46/26</f>
        <v>0</v>
      </c>
      <c r="G46" s="32">
        <f>G44/2*2</f>
        <v>0</v>
      </c>
      <c r="H46" s="32">
        <f>G46*12</f>
        <v>0</v>
      </c>
      <c r="L46" s="72"/>
    </row>
    <row r="47" spans="1:12" x14ac:dyDescent="0.2">
      <c r="B47" s="72"/>
      <c r="C47" s="72"/>
      <c r="D47" s="72"/>
      <c r="E47" s="31"/>
      <c r="F47" s="31"/>
      <c r="G47" s="32"/>
      <c r="H47" s="31"/>
      <c r="I47" s="58"/>
      <c r="J47" s="58"/>
      <c r="K47" s="2"/>
    </row>
    <row r="48" spans="1:12" x14ac:dyDescent="0.2">
      <c r="B48" s="72" t="s">
        <v>57</v>
      </c>
      <c r="C48" s="72"/>
      <c r="D48" s="72"/>
      <c r="E48" s="32">
        <f>H48/24</f>
        <v>0</v>
      </c>
      <c r="F48" s="32">
        <f>H48/26</f>
        <v>0</v>
      </c>
      <c r="G48" s="32">
        <f>G35</f>
        <v>0</v>
      </c>
      <c r="H48" s="13">
        <f>G48*12</f>
        <v>0</v>
      </c>
      <c r="L48" s="2"/>
    </row>
    <row r="49" spans="1:12" x14ac:dyDescent="0.2">
      <c r="B49" s="72"/>
      <c r="C49" s="72"/>
      <c r="E49" s="31"/>
      <c r="F49" s="31"/>
      <c r="G49" s="32"/>
      <c r="H49" s="31"/>
      <c r="I49" s="2"/>
      <c r="J49" s="2"/>
      <c r="K49" s="2"/>
    </row>
    <row r="50" spans="1:12" x14ac:dyDescent="0.2">
      <c r="B50" s="72" t="s">
        <v>58</v>
      </c>
      <c r="C50" s="72"/>
      <c r="E50" s="32">
        <f>H50/24</f>
        <v>0</v>
      </c>
      <c r="F50" s="32">
        <f>H50/26</f>
        <v>0</v>
      </c>
      <c r="G50" s="32">
        <f>G38</f>
        <v>0</v>
      </c>
      <c r="H50" s="13">
        <f>G50*12</f>
        <v>0</v>
      </c>
      <c r="L50" s="2"/>
    </row>
    <row r="51" spans="1:12" x14ac:dyDescent="0.2">
      <c r="B51" s="72"/>
      <c r="C51" s="72"/>
      <c r="I51" s="2"/>
      <c r="J51" s="2"/>
      <c r="K51" s="73"/>
    </row>
    <row r="52" spans="1:12" x14ac:dyDescent="0.2">
      <c r="C52" s="72"/>
      <c r="L52" s="73"/>
    </row>
    <row r="53" spans="1:12" x14ac:dyDescent="0.2">
      <c r="A53" s="72"/>
      <c r="C53" s="72"/>
      <c r="I53" s="73"/>
      <c r="J53" s="73"/>
      <c r="K53" s="73"/>
    </row>
    <row r="54" spans="1:12" x14ac:dyDescent="0.2">
      <c r="L54" s="73"/>
    </row>
    <row r="55" spans="1:12" x14ac:dyDescent="0.2">
      <c r="I55" s="73"/>
      <c r="J55" s="73"/>
    </row>
  </sheetData>
  <sheetProtection algorithmName="SHA-512" hashValue="Q0LCYRx4FWVf2QJ0y65Xatnuxp2qUBmxLYVYg9csK5PDhQ9dHCBGHQrLYgOGhMHOTT1EHBH/wcg0Tq7VDs45Dw==" saltValue="LD4CghzpWcHOfcJadRkjYA==" spinCount="100000" sheet="1" objects="1" scenarios="1" selectLockedCells="1"/>
  <protectedRanges>
    <protectedRange sqref="B10:C10 B29:B32 B35:B41 C29:C31" name="Plage1"/>
  </protectedRanges>
  <dataConsolidate/>
  <mergeCells count="13">
    <mergeCell ref="D39:F39"/>
    <mergeCell ref="E30:F30"/>
    <mergeCell ref="E31:F31"/>
    <mergeCell ref="A34:B34"/>
    <mergeCell ref="D35:F35"/>
    <mergeCell ref="D36:F36"/>
    <mergeCell ref="D38:F38"/>
    <mergeCell ref="E29:F29"/>
    <mergeCell ref="A3:F3"/>
    <mergeCell ref="B6:D6"/>
    <mergeCell ref="B8:D8"/>
    <mergeCell ref="C10:D10"/>
    <mergeCell ref="A28:B28"/>
  </mergeCells>
  <dataValidations count="2">
    <dataValidation type="list" allowBlank="1" showInputMessage="1" showErrorMessage="1" sqref="C10" xr:uid="{DAB6E861-F635-4A25-8928-D80E3D8D2AAF}">
      <formula1>$A$29:$A$31</formula1>
    </dataValidation>
    <dataValidation type="whole" operator="greaterThan" allowBlank="1" showInputMessage="1" showErrorMessage="1" sqref="D14" xr:uid="{CD335D37-7097-4C6D-99D2-0C2799F51959}">
      <formula1>D14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scale="75" orientation="landscape" r:id="rId1"/>
  <headerFooter alignWithMargins="0">
    <oddFooter>&amp;L                 &amp;F (&amp;A)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D5E70-DC39-4192-928D-58172C701ABB}">
  <sheetPr>
    <tabColor rgb="FFFFC000"/>
    <pageSetUpPr fitToPage="1"/>
  </sheetPr>
  <dimension ref="A3:U55"/>
  <sheetViews>
    <sheetView zoomScaleNormal="100" workbookViewId="0">
      <selection activeCell="C10" sqref="C10:E10"/>
    </sheetView>
  </sheetViews>
  <sheetFormatPr baseColWidth="10" defaultColWidth="11.42578125" defaultRowHeight="12.75" x14ac:dyDescent="0.2"/>
  <cols>
    <col min="1" max="1" width="43.7109375" customWidth="1"/>
    <col min="2" max="2" width="13.7109375" customWidth="1"/>
    <col min="3" max="3" width="11.85546875" customWidth="1"/>
    <col min="4" max="4" width="10.28515625" customWidth="1"/>
    <col min="5" max="5" width="11.28515625" customWidth="1"/>
    <col min="6" max="6" width="13" customWidth="1"/>
    <col min="7" max="7" width="14.28515625" style="2" bestFit="1" customWidth="1"/>
    <col min="8" max="8" width="13.28515625" bestFit="1" customWidth="1"/>
    <col min="9" max="12" width="14.42578125" hidden="1" customWidth="1"/>
    <col min="13" max="17" width="0" hidden="1" customWidth="1"/>
    <col min="18" max="18" width="14.28515625" hidden="1" customWidth="1"/>
    <col min="19" max="19" width="12.85546875" hidden="1" customWidth="1"/>
  </cols>
  <sheetData>
    <row r="3" spans="1:21" ht="27.75" x14ac:dyDescent="0.4">
      <c r="A3" s="87" t="s">
        <v>59</v>
      </c>
      <c r="B3" s="87"/>
      <c r="C3" s="87"/>
      <c r="D3" s="87"/>
      <c r="E3" s="87"/>
      <c r="F3" s="87"/>
      <c r="G3" s="1">
        <f>'[1]64 ans et moins'!G3</f>
        <v>0</v>
      </c>
      <c r="S3" s="2"/>
    </row>
    <row r="4" spans="1:21" ht="20.25" x14ac:dyDescent="0.3">
      <c r="B4" s="3"/>
      <c r="C4" s="3"/>
      <c r="D4" s="3"/>
      <c r="E4" s="3"/>
      <c r="G4" s="4"/>
    </row>
    <row r="5" spans="1:21" ht="20.25" x14ac:dyDescent="0.3">
      <c r="B5" s="3"/>
      <c r="C5" s="3"/>
      <c r="D5" s="3"/>
      <c r="E5" s="3"/>
      <c r="G5" s="4"/>
    </row>
    <row r="6" spans="1:21" ht="20.45" customHeight="1" x14ac:dyDescent="0.25">
      <c r="A6" s="5" t="s">
        <v>1</v>
      </c>
      <c r="B6" s="88" t="s">
        <v>2</v>
      </c>
      <c r="C6" s="88"/>
      <c r="D6" s="88"/>
      <c r="E6" s="88"/>
      <c r="G6" s="4"/>
    </row>
    <row r="7" spans="1:21" ht="18" x14ac:dyDescent="0.25">
      <c r="A7" s="6"/>
    </row>
    <row r="8" spans="1:21" ht="18" x14ac:dyDescent="0.25">
      <c r="A8" s="5" t="s">
        <v>3</v>
      </c>
      <c r="B8" s="97"/>
      <c r="C8" s="97"/>
      <c r="D8" s="97"/>
      <c r="E8" s="97"/>
      <c r="G8" s="7" t="s">
        <v>4</v>
      </c>
      <c r="H8" s="8"/>
    </row>
    <row r="9" spans="1:21" ht="18" x14ac:dyDescent="0.25">
      <c r="A9" s="9"/>
    </row>
    <row r="10" spans="1:21" ht="18" x14ac:dyDescent="0.25">
      <c r="A10" s="5" t="s">
        <v>5</v>
      </c>
      <c r="B10" s="85">
        <v>33000</v>
      </c>
      <c r="C10" s="90" t="s">
        <v>34</v>
      </c>
      <c r="D10" s="90"/>
      <c r="E10" s="90"/>
      <c r="F10" s="11" t="s">
        <v>7</v>
      </c>
      <c r="G10" s="12"/>
      <c r="S10" s="2"/>
    </row>
    <row r="11" spans="1:21" x14ac:dyDescent="0.2">
      <c r="F11" s="2"/>
      <c r="M11" t="s">
        <v>8</v>
      </c>
      <c r="S11" s="2"/>
      <c r="T11" s="2"/>
      <c r="U11" s="2"/>
    </row>
    <row r="12" spans="1:21" ht="12.75" customHeight="1" thickBot="1" x14ac:dyDescent="0.25">
      <c r="F12" s="13" t="s">
        <v>9</v>
      </c>
      <c r="G12" s="13" t="s">
        <v>60</v>
      </c>
      <c r="J12" t="s">
        <v>11</v>
      </c>
      <c r="T12" s="2"/>
    </row>
    <row r="13" spans="1:21" x14ac:dyDescent="0.2">
      <c r="F13" s="2"/>
      <c r="M13" s="14" t="s">
        <v>12</v>
      </c>
      <c r="N13" s="15" t="s">
        <v>13</v>
      </c>
      <c r="O13" s="16"/>
      <c r="P13" s="17">
        <f>G29</f>
        <v>204.43</v>
      </c>
      <c r="Q13" s="16" t="s">
        <v>14</v>
      </c>
      <c r="R13" s="16"/>
      <c r="S13" s="18"/>
    </row>
    <row r="14" spans="1:21" ht="15.75" x14ac:dyDescent="0.25">
      <c r="A14" s="19" t="s">
        <v>61</v>
      </c>
      <c r="B14" s="19"/>
      <c r="C14" s="19"/>
      <c r="D14" s="84">
        <f>(($B$10*2)/1000)</f>
        <v>66</v>
      </c>
      <c r="E14" s="74">
        <f>ROUNDUP(B10/1000,1)</f>
        <v>33</v>
      </c>
      <c r="F14" s="20">
        <f>ROUND(E14*B35,2)</f>
        <v>12.61</v>
      </c>
      <c r="G14" s="21">
        <f>F14*1.09</f>
        <v>13.744900000000001</v>
      </c>
      <c r="H14" s="19"/>
      <c r="J14" s="2">
        <f>G14*12</f>
        <v>164.93880000000001</v>
      </c>
      <c r="K14" s="2">
        <f>J14/26</f>
        <v>6.3438000000000008</v>
      </c>
      <c r="L14" s="2">
        <f>K14/2</f>
        <v>3.1719000000000004</v>
      </c>
      <c r="M14" s="22"/>
      <c r="S14" s="23"/>
    </row>
    <row r="15" spans="1:21" ht="15.75" x14ac:dyDescent="0.25">
      <c r="A15" s="24"/>
      <c r="B15" s="24"/>
      <c r="C15" s="24"/>
      <c r="D15" s="24"/>
      <c r="E15" s="24"/>
      <c r="F15" s="25"/>
      <c r="G15" s="26"/>
      <c r="H15" s="24"/>
      <c r="J15" s="2">
        <f t="shared" ref="J15:J24" si="0">G15*12</f>
        <v>0</v>
      </c>
      <c r="K15" s="2">
        <f t="shared" ref="K15:K24" si="1">J15/26</f>
        <v>0</v>
      </c>
      <c r="L15" s="2">
        <f t="shared" ref="L15:L24" si="2">K15/2</f>
        <v>0</v>
      </c>
      <c r="M15" s="22"/>
      <c r="O15" s="2"/>
      <c r="P15" s="2">
        <f>P13/2</f>
        <v>102.215</v>
      </c>
      <c r="Q15" s="2" t="s">
        <v>16</v>
      </c>
      <c r="R15" s="2"/>
      <c r="S15" s="23"/>
    </row>
    <row r="16" spans="1:21" ht="15.75" x14ac:dyDescent="0.25">
      <c r="A16" s="19" t="s">
        <v>17</v>
      </c>
      <c r="B16" s="19"/>
      <c r="C16" s="19"/>
      <c r="D16" s="19"/>
      <c r="E16" s="19"/>
      <c r="F16" s="20">
        <f>IF(C10="FAMILIALE",B37,0)</f>
        <v>0</v>
      </c>
      <c r="G16" s="21">
        <f t="shared" ref="G16:G24" si="3">F16*1.09</f>
        <v>0</v>
      </c>
      <c r="H16" s="19"/>
      <c r="J16" s="2">
        <f t="shared" si="0"/>
        <v>0</v>
      </c>
      <c r="K16" s="2">
        <f t="shared" si="1"/>
        <v>0</v>
      </c>
      <c r="L16" s="2">
        <f t="shared" si="2"/>
        <v>0</v>
      </c>
      <c r="M16" s="22"/>
      <c r="P16" s="2">
        <f>P13/2</f>
        <v>102.215</v>
      </c>
      <c r="Q16" t="s">
        <v>18</v>
      </c>
      <c r="S16" s="23"/>
    </row>
    <row r="17" spans="1:19" ht="15.75" x14ac:dyDescent="0.25">
      <c r="A17" s="24"/>
      <c r="B17" s="24"/>
      <c r="C17" s="24"/>
      <c r="D17" s="24"/>
      <c r="E17" s="24"/>
      <c r="F17" s="25"/>
      <c r="G17" s="26"/>
      <c r="H17" s="24"/>
      <c r="J17" s="2">
        <f t="shared" si="0"/>
        <v>0</v>
      </c>
      <c r="K17" s="2">
        <f t="shared" si="1"/>
        <v>0</v>
      </c>
      <c r="L17" s="2">
        <f t="shared" si="2"/>
        <v>0</v>
      </c>
      <c r="M17" s="22"/>
      <c r="O17" t="s">
        <v>19</v>
      </c>
      <c r="S17" s="23"/>
    </row>
    <row r="18" spans="1:19" ht="16.5" thickBot="1" x14ac:dyDescent="0.3">
      <c r="A18" s="19" t="s">
        <v>62</v>
      </c>
      <c r="B18" s="19"/>
      <c r="C18" s="19"/>
      <c r="D18" s="84">
        <f>(B10*2)/1000</f>
        <v>66</v>
      </c>
      <c r="E18" s="74">
        <f>ROUNDUP(B10/1000,1)</f>
        <v>33</v>
      </c>
      <c r="F18" s="20">
        <f>ROUND(E18*B36,2)</f>
        <v>1.19</v>
      </c>
      <c r="G18" s="21">
        <f t="shared" si="3"/>
        <v>1.2971000000000001</v>
      </c>
      <c r="H18" s="19"/>
      <c r="J18" s="2">
        <f t="shared" si="0"/>
        <v>15.565200000000001</v>
      </c>
      <c r="K18" s="2">
        <f t="shared" si="1"/>
        <v>0.59866153846153847</v>
      </c>
      <c r="L18" s="2">
        <f t="shared" si="2"/>
        <v>0.29933076923076923</v>
      </c>
      <c r="M18" s="22"/>
      <c r="P18" s="27">
        <f>ROUND((F20/2)*1.09,2)</f>
        <v>0</v>
      </c>
      <c r="Q18" t="s">
        <v>21</v>
      </c>
      <c r="S18" s="23"/>
    </row>
    <row r="19" spans="1:19" ht="16.5" thickBot="1" x14ac:dyDescent="0.3">
      <c r="A19" s="24"/>
      <c r="B19" s="24"/>
      <c r="C19" s="24"/>
      <c r="D19" s="24"/>
      <c r="E19" s="24"/>
      <c r="F19" s="25"/>
      <c r="G19" s="26"/>
      <c r="H19" s="24"/>
      <c r="J19" s="2">
        <f t="shared" si="0"/>
        <v>0</v>
      </c>
      <c r="K19" s="2">
        <f t="shared" si="1"/>
        <v>0</v>
      </c>
      <c r="L19" s="2">
        <f t="shared" si="2"/>
        <v>0</v>
      </c>
      <c r="M19" s="22"/>
      <c r="P19" s="27">
        <f>ROUND((F22/2)*1.09,2)</f>
        <v>0</v>
      </c>
      <c r="S19" s="23"/>
    </row>
    <row r="20" spans="1:19" ht="15.75" x14ac:dyDescent="0.25">
      <c r="A20" s="19" t="s">
        <v>63</v>
      </c>
      <c r="B20" s="19"/>
      <c r="C20" s="19"/>
      <c r="D20" s="19"/>
      <c r="E20" s="19"/>
      <c r="F20" s="75">
        <v>0</v>
      </c>
      <c r="G20" s="21">
        <f>F20*1.09</f>
        <v>0</v>
      </c>
      <c r="H20" s="19"/>
      <c r="J20" s="2">
        <f>G20*12</f>
        <v>0</v>
      </c>
      <c r="K20" s="2">
        <f t="shared" si="1"/>
        <v>0</v>
      </c>
      <c r="L20" s="2">
        <f t="shared" si="2"/>
        <v>0</v>
      </c>
      <c r="M20" s="22"/>
      <c r="O20" t="s">
        <v>23</v>
      </c>
      <c r="P20" s="2">
        <f>P16-P18-P19</f>
        <v>102.215</v>
      </c>
      <c r="Q20" t="s">
        <v>24</v>
      </c>
      <c r="S20" s="23"/>
    </row>
    <row r="21" spans="1:19" ht="15.75" x14ac:dyDescent="0.25">
      <c r="A21" s="24"/>
      <c r="B21" s="24"/>
      <c r="C21" s="24"/>
      <c r="D21" s="24"/>
      <c r="E21" s="24"/>
      <c r="F21" s="25"/>
      <c r="G21" s="26"/>
      <c r="H21" s="24"/>
      <c r="J21" s="2">
        <f t="shared" si="0"/>
        <v>0</v>
      </c>
      <c r="K21" s="2">
        <f t="shared" si="1"/>
        <v>0</v>
      </c>
      <c r="L21" s="2">
        <f t="shared" si="2"/>
        <v>0</v>
      </c>
      <c r="M21" s="22"/>
      <c r="P21" t="s">
        <v>25</v>
      </c>
      <c r="S21" s="23"/>
    </row>
    <row r="22" spans="1:19" ht="16.5" thickBot="1" x14ac:dyDescent="0.3">
      <c r="A22" s="19" t="s">
        <v>64</v>
      </c>
      <c r="B22" s="19"/>
      <c r="C22" s="19"/>
      <c r="D22" s="19"/>
      <c r="E22" s="19"/>
      <c r="F22" s="75">
        <v>0</v>
      </c>
      <c r="G22" s="21">
        <f>F22*1.09</f>
        <v>0</v>
      </c>
      <c r="H22" s="19"/>
      <c r="J22" s="2">
        <f t="shared" si="0"/>
        <v>0</v>
      </c>
      <c r="K22" s="2">
        <f t="shared" si="1"/>
        <v>0</v>
      </c>
      <c r="L22" s="2">
        <f t="shared" si="2"/>
        <v>0</v>
      </c>
      <c r="M22" s="28"/>
      <c r="N22" s="29"/>
      <c r="O22" s="29"/>
      <c r="P22" s="29"/>
      <c r="Q22" s="29"/>
      <c r="R22" s="29" t="s">
        <v>27</v>
      </c>
      <c r="S22" s="30">
        <f>P20*12/26</f>
        <v>47.176153846153845</v>
      </c>
    </row>
    <row r="23" spans="1:19" ht="15.75" x14ac:dyDescent="0.25">
      <c r="A23" s="24"/>
      <c r="B23" s="24"/>
      <c r="C23" s="24"/>
      <c r="D23" s="24"/>
      <c r="E23" s="24"/>
      <c r="F23" s="25"/>
      <c r="G23" s="26"/>
      <c r="H23" s="24"/>
      <c r="J23" s="2">
        <f t="shared" si="0"/>
        <v>0</v>
      </c>
      <c r="K23" s="2">
        <f t="shared" si="1"/>
        <v>0</v>
      </c>
      <c r="L23" s="2">
        <f t="shared" si="2"/>
        <v>0</v>
      </c>
    </row>
    <row r="24" spans="1:19" ht="15.75" x14ac:dyDescent="0.25">
      <c r="A24" s="19" t="s">
        <v>28</v>
      </c>
      <c r="B24" s="19"/>
      <c r="C24" s="19"/>
      <c r="D24" s="19"/>
      <c r="E24" s="19"/>
      <c r="F24" s="20">
        <f>IF(C10="Individuelle",B29,IF(C10="Familiale",B30,B31))</f>
        <v>173.75</v>
      </c>
      <c r="G24" s="21">
        <f t="shared" si="3"/>
        <v>189.38750000000002</v>
      </c>
      <c r="H24" s="19"/>
      <c r="J24" s="2">
        <f t="shared" si="0"/>
        <v>2272.65</v>
      </c>
      <c r="K24" s="2">
        <f t="shared" si="1"/>
        <v>87.409615384615392</v>
      </c>
      <c r="L24" s="2">
        <f t="shared" si="2"/>
        <v>43.704807692307696</v>
      </c>
    </row>
    <row r="25" spans="1:19" x14ac:dyDescent="0.2">
      <c r="K25" s="2"/>
      <c r="L25" s="2"/>
    </row>
    <row r="26" spans="1:19" ht="15" x14ac:dyDescent="0.2">
      <c r="A26" s="49" t="s">
        <v>65</v>
      </c>
      <c r="F26" s="2"/>
      <c r="I26" s="2"/>
      <c r="J26" s="2"/>
    </row>
    <row r="27" spans="1:19" ht="13.5" thickBot="1" x14ac:dyDescent="0.25">
      <c r="I27" s="13" t="s">
        <v>29</v>
      </c>
      <c r="J27" s="2"/>
      <c r="N27" s="2"/>
    </row>
    <row r="28" spans="1:19" ht="13.5" thickBot="1" x14ac:dyDescent="0.25">
      <c r="A28" s="91" t="s">
        <v>30</v>
      </c>
      <c r="B28" s="92"/>
      <c r="F28" s="31"/>
      <c r="G28" s="32" t="s">
        <v>31</v>
      </c>
      <c r="H28" s="33" t="s">
        <v>32</v>
      </c>
      <c r="I28" s="34" t="s">
        <v>33</v>
      </c>
    </row>
    <row r="29" spans="1:19" ht="15.75" thickBot="1" x14ac:dyDescent="0.25">
      <c r="A29" s="35" t="s">
        <v>34</v>
      </c>
      <c r="B29" s="36">
        <v>173.75</v>
      </c>
      <c r="C29" s="37"/>
      <c r="E29" s="86" t="s">
        <v>35</v>
      </c>
      <c r="F29" s="86"/>
      <c r="G29" s="38">
        <f>ROUND(SUM(G14:G28),2)</f>
        <v>204.43</v>
      </c>
      <c r="H29" s="39">
        <f>G29*12</f>
        <v>2453.16</v>
      </c>
      <c r="I29" s="76">
        <f>G29*9</f>
        <v>1839.8700000000001</v>
      </c>
      <c r="J29" s="2"/>
      <c r="K29" s="2"/>
    </row>
    <row r="30" spans="1:19" ht="15.75" thickTop="1" x14ac:dyDescent="0.2">
      <c r="A30" s="41" t="s">
        <v>36</v>
      </c>
      <c r="B30" s="42">
        <v>415.27</v>
      </c>
      <c r="C30" s="37"/>
      <c r="E30" s="86" t="s">
        <v>37</v>
      </c>
      <c r="F30" s="94"/>
      <c r="G30" s="44">
        <f>G29/2</f>
        <v>102.215</v>
      </c>
      <c r="H30" s="32">
        <f>G30*12</f>
        <v>1226.58</v>
      </c>
      <c r="I30" s="57">
        <f t="shared" ref="I30:I31" si="4">G30*9</f>
        <v>919.93500000000006</v>
      </c>
      <c r="J30" s="2"/>
      <c r="K30" s="2"/>
    </row>
    <row r="31" spans="1:19" ht="15" x14ac:dyDescent="0.2">
      <c r="A31" s="45" t="s">
        <v>6</v>
      </c>
      <c r="B31" s="46">
        <v>0</v>
      </c>
      <c r="C31" s="37"/>
      <c r="D31" s="2"/>
      <c r="E31" s="86" t="s">
        <v>38</v>
      </c>
      <c r="F31" s="94"/>
      <c r="G31" s="44">
        <f>G29/2</f>
        <v>102.215</v>
      </c>
      <c r="H31" s="32">
        <f>G31*12</f>
        <v>1226.58</v>
      </c>
      <c r="I31" s="57">
        <f t="shared" si="4"/>
        <v>919.93500000000006</v>
      </c>
      <c r="J31" s="2"/>
    </row>
    <row r="32" spans="1:19" ht="15" x14ac:dyDescent="0.2">
      <c r="A32" s="47"/>
      <c r="B32" s="37"/>
      <c r="F32" s="2"/>
      <c r="G32" s="48"/>
      <c r="H32" s="2"/>
      <c r="I32" s="2"/>
      <c r="K32" s="2"/>
    </row>
    <row r="33" spans="1:12" ht="16.899999999999999" customHeight="1" thickBot="1" x14ac:dyDescent="0.25">
      <c r="I33" s="31" t="s">
        <v>39</v>
      </c>
      <c r="K33" s="50"/>
    </row>
    <row r="34" spans="1:12" ht="13.9" customHeight="1" thickBot="1" x14ac:dyDescent="0.3">
      <c r="A34" s="91" t="s">
        <v>40</v>
      </c>
      <c r="B34" s="92"/>
      <c r="G34" s="51" t="s">
        <v>41</v>
      </c>
      <c r="H34" s="51" t="s">
        <v>42</v>
      </c>
      <c r="I34" s="52" t="s">
        <v>29</v>
      </c>
      <c r="K34" s="53"/>
      <c r="L34" s="53"/>
    </row>
    <row r="35" spans="1:12" ht="15" x14ac:dyDescent="0.2">
      <c r="A35" s="54" t="s">
        <v>43</v>
      </c>
      <c r="B35" s="55">
        <v>0.38200000000000001</v>
      </c>
      <c r="D35" s="47"/>
      <c r="F35" s="43" t="s">
        <v>44</v>
      </c>
      <c r="G35" s="56">
        <f>ROUND(((F14+F18+F16+F24)/2*(1+B40)),2)</f>
        <v>102.21</v>
      </c>
      <c r="H35" s="56">
        <f>ROUND(G35*12,2)</f>
        <v>1226.52</v>
      </c>
      <c r="I35" s="57">
        <f>G35*9</f>
        <v>919.89</v>
      </c>
      <c r="J35" s="58"/>
      <c r="K35" s="2"/>
      <c r="L35" s="58"/>
    </row>
    <row r="36" spans="1:12" ht="18" x14ac:dyDescent="0.25">
      <c r="A36" s="59" t="s">
        <v>45</v>
      </c>
      <c r="B36" s="60">
        <v>3.5999999999999997E-2</v>
      </c>
      <c r="D36" s="47"/>
      <c r="F36" s="77" t="s">
        <v>46</v>
      </c>
      <c r="G36" s="61"/>
      <c r="H36" s="61"/>
      <c r="I36" s="78"/>
      <c r="J36" s="53"/>
      <c r="K36" s="2"/>
      <c r="L36" s="58"/>
    </row>
    <row r="37" spans="1:12" ht="15" x14ac:dyDescent="0.2">
      <c r="A37" s="62" t="s">
        <v>47</v>
      </c>
      <c r="B37" s="63">
        <v>6.16</v>
      </c>
      <c r="D37" s="47"/>
      <c r="G37" s="61"/>
      <c r="H37" s="61"/>
      <c r="I37" s="31"/>
    </row>
    <row r="38" spans="1:12" ht="15" x14ac:dyDescent="0.2">
      <c r="A38" s="64" t="s">
        <v>48</v>
      </c>
      <c r="B38" s="79" t="s">
        <v>66</v>
      </c>
      <c r="F38" s="43" t="s">
        <v>49</v>
      </c>
      <c r="G38" s="56">
        <f>ROUND(((F14+F16+F18)*1.09)/2,2)</f>
        <v>7.52</v>
      </c>
      <c r="H38" s="56">
        <f>G38*12</f>
        <v>90.24</v>
      </c>
      <c r="I38" s="57">
        <f>G38*9</f>
        <v>67.679999999999993</v>
      </c>
    </row>
    <row r="39" spans="1:12" x14ac:dyDescent="0.2">
      <c r="A39" s="64" t="s">
        <v>50</v>
      </c>
      <c r="B39" s="79" t="s">
        <v>66</v>
      </c>
      <c r="D39" s="47"/>
      <c r="F39" s="43" t="s">
        <v>51</v>
      </c>
      <c r="K39" s="58"/>
    </row>
    <row r="40" spans="1:12" ht="18" x14ac:dyDescent="0.25">
      <c r="A40" s="66" t="s">
        <v>52</v>
      </c>
      <c r="B40" s="67">
        <v>0.09</v>
      </c>
      <c r="G40" s="68"/>
      <c r="K40" s="53"/>
      <c r="L40" s="58"/>
    </row>
    <row r="41" spans="1:12" ht="21" customHeight="1" x14ac:dyDescent="0.25">
      <c r="B41" s="69"/>
      <c r="I41" s="58"/>
      <c r="J41" s="58"/>
      <c r="L41" s="53"/>
    </row>
    <row r="42" spans="1:12" x14ac:dyDescent="0.2">
      <c r="E42" s="70" t="s">
        <v>53</v>
      </c>
      <c r="F42" s="70" t="s">
        <v>54</v>
      </c>
      <c r="G42" s="71" t="s">
        <v>41</v>
      </c>
      <c r="H42" s="70" t="s">
        <v>42</v>
      </c>
    </row>
    <row r="43" spans="1:12" x14ac:dyDescent="0.2">
      <c r="E43" s="31"/>
      <c r="F43" s="31"/>
      <c r="G43" s="32"/>
      <c r="H43" s="31"/>
    </row>
    <row r="44" spans="1:12" x14ac:dyDescent="0.2">
      <c r="A44" s="72"/>
      <c r="B44" s="80" t="s">
        <v>55</v>
      </c>
      <c r="C44" s="72"/>
      <c r="E44" s="32">
        <f>H44/24</f>
        <v>51.107499999999995</v>
      </c>
      <c r="F44" s="32">
        <f>H44/26</f>
        <v>47.176153846153845</v>
      </c>
      <c r="G44" s="32">
        <f>G29/2</f>
        <v>102.215</v>
      </c>
      <c r="H44" s="32">
        <f>G44*12</f>
        <v>1226.58</v>
      </c>
    </row>
    <row r="45" spans="1:12" x14ac:dyDescent="0.2">
      <c r="A45" s="72"/>
      <c r="B45" s="80"/>
      <c r="C45" s="72"/>
      <c r="D45" s="72"/>
      <c r="E45" s="31"/>
      <c r="F45" s="32"/>
      <c r="G45" s="32"/>
      <c r="H45" s="31"/>
      <c r="K45" s="58"/>
    </row>
    <row r="46" spans="1:12" x14ac:dyDescent="0.2">
      <c r="A46" s="72"/>
      <c r="B46" s="80" t="s">
        <v>56</v>
      </c>
      <c r="C46" s="72"/>
      <c r="D46" s="72"/>
      <c r="E46" s="32">
        <f>H46/24</f>
        <v>51.107499999999995</v>
      </c>
      <c r="F46" s="32">
        <f>H46/26</f>
        <v>47.176153846153845</v>
      </c>
      <c r="G46" s="32">
        <f>G44/2*2</f>
        <v>102.215</v>
      </c>
      <c r="H46" s="32">
        <f>G46*12</f>
        <v>1226.58</v>
      </c>
      <c r="L46" s="72"/>
    </row>
    <row r="47" spans="1:12" x14ac:dyDescent="0.2">
      <c r="A47" s="72"/>
      <c r="B47" s="80"/>
      <c r="C47" s="72"/>
      <c r="D47" s="72"/>
      <c r="E47" s="31"/>
      <c r="F47" s="31"/>
      <c r="G47" s="32"/>
      <c r="H47" s="31"/>
      <c r="I47" s="58"/>
      <c r="J47" s="58"/>
      <c r="K47" s="2"/>
    </row>
    <row r="48" spans="1:12" x14ac:dyDescent="0.2">
      <c r="A48" s="72"/>
      <c r="B48" s="80" t="s">
        <v>57</v>
      </c>
      <c r="C48" s="72"/>
      <c r="D48" s="72"/>
      <c r="E48" s="32">
        <f>H48/24</f>
        <v>51.104999999999997</v>
      </c>
      <c r="F48" s="32">
        <f>H48/26</f>
        <v>47.173846153846156</v>
      </c>
      <c r="G48" s="32">
        <f>G35</f>
        <v>102.21</v>
      </c>
      <c r="H48" s="13">
        <f>G48*12</f>
        <v>1226.52</v>
      </c>
      <c r="L48" s="2"/>
    </row>
    <row r="49" spans="1:12" x14ac:dyDescent="0.2">
      <c r="A49" s="72"/>
      <c r="B49" s="80"/>
      <c r="C49" s="72"/>
      <c r="E49" s="31"/>
      <c r="F49" s="31"/>
      <c r="G49" s="32"/>
      <c r="H49" s="31"/>
      <c r="I49" s="2"/>
      <c r="J49" s="2"/>
      <c r="K49" s="2"/>
    </row>
    <row r="50" spans="1:12" x14ac:dyDescent="0.2">
      <c r="A50" s="72"/>
      <c r="B50" s="80" t="s">
        <v>58</v>
      </c>
      <c r="C50" s="72"/>
      <c r="E50" s="32">
        <f>H50/24</f>
        <v>3.76</v>
      </c>
      <c r="F50" s="32">
        <f>H50/26</f>
        <v>3.4707692307692306</v>
      </c>
      <c r="G50" s="32">
        <f>G38</f>
        <v>7.52</v>
      </c>
      <c r="H50" s="13">
        <f>G50*12</f>
        <v>90.24</v>
      </c>
      <c r="L50" s="2"/>
    </row>
    <row r="51" spans="1:12" x14ac:dyDescent="0.2">
      <c r="B51" s="72"/>
      <c r="C51" s="72"/>
      <c r="I51" s="2"/>
      <c r="J51" s="2"/>
      <c r="K51" s="73"/>
    </row>
    <row r="52" spans="1:12" x14ac:dyDescent="0.2">
      <c r="C52" s="72"/>
      <c r="L52" s="73"/>
    </row>
    <row r="53" spans="1:12" x14ac:dyDescent="0.2">
      <c r="A53" s="72"/>
      <c r="C53" s="72"/>
      <c r="I53" s="73"/>
      <c r="J53" s="73"/>
      <c r="K53" s="73"/>
    </row>
    <row r="54" spans="1:12" x14ac:dyDescent="0.2">
      <c r="L54" s="73"/>
    </row>
    <row r="55" spans="1:12" x14ac:dyDescent="0.2">
      <c r="I55" s="73"/>
      <c r="J55" s="73"/>
    </row>
  </sheetData>
  <sheetProtection algorithmName="SHA-512" hashValue="xO/C/m9HouLQWA3tgS9MHmwfmuZs79r1vOZhrVweI9oYbTHtjZ1bRQdLd4I/Yg2LVO+IXBglzUAsTt4oGDyLgg==" saltValue="j27s4pkfMRzZYGzc8tfv8Q==" spinCount="100000" sheet="1" objects="1" scenarios="1" selectLockedCells="1"/>
  <protectedRanges>
    <protectedRange sqref="B10:C10 B29:B32 C29:C31 B35:B41" name="Plage1"/>
  </protectedRanges>
  <mergeCells count="9">
    <mergeCell ref="E30:F30"/>
    <mergeCell ref="E31:F31"/>
    <mergeCell ref="A34:B34"/>
    <mergeCell ref="A3:F3"/>
    <mergeCell ref="B6:E6"/>
    <mergeCell ref="B8:E8"/>
    <mergeCell ref="C10:E10"/>
    <mergeCell ref="A28:B28"/>
    <mergeCell ref="E29:F29"/>
  </mergeCells>
  <dataValidations count="2">
    <dataValidation type="whole" operator="greaterThan" allowBlank="1" showInputMessage="1" showErrorMessage="1" sqref="D14" xr:uid="{CAFA7D85-D661-441A-80F6-042A7E906DFD}">
      <formula1>D14</formula1>
    </dataValidation>
    <dataValidation type="list" allowBlank="1" showInputMessage="1" showErrorMessage="1" sqref="C10" xr:uid="{A64100E6-83C4-43DC-8810-123B513B400E}">
      <formula1>$A$29:$A$31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scale="74" orientation="landscape" r:id="rId1"/>
  <headerFooter alignWithMargins="0">
    <oddFooter>&amp;L                                   &amp;F (&amp;A)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CDD4A-9078-4313-9F28-116C64CCE0A6}">
  <sheetPr>
    <tabColor rgb="FFFF0000"/>
    <pageSetUpPr fitToPage="1"/>
  </sheetPr>
  <dimension ref="A3:U55"/>
  <sheetViews>
    <sheetView zoomScaleNormal="100" workbookViewId="0">
      <selection activeCell="C10" sqref="C10:E10"/>
    </sheetView>
  </sheetViews>
  <sheetFormatPr baseColWidth="10" defaultColWidth="11.42578125" defaultRowHeight="12.75" x14ac:dyDescent="0.2"/>
  <cols>
    <col min="1" max="1" width="43.5703125" customWidth="1"/>
    <col min="2" max="2" width="13.7109375" customWidth="1"/>
    <col min="3" max="3" width="19.7109375" customWidth="1"/>
    <col min="4" max="4" width="8.140625" hidden="1" customWidth="1"/>
    <col min="5" max="5" width="13.7109375" customWidth="1"/>
    <col min="6" max="6" width="13.28515625" customWidth="1"/>
    <col min="7" max="7" width="14.28515625" style="2" bestFit="1" customWidth="1"/>
    <col min="8" max="8" width="13.28515625" bestFit="1" customWidth="1"/>
    <col min="9" max="12" width="14.42578125" hidden="1" customWidth="1"/>
    <col min="13" max="17" width="0" hidden="1" customWidth="1"/>
    <col min="18" max="18" width="14.28515625" hidden="1" customWidth="1"/>
    <col min="19" max="19" width="12.85546875" hidden="1" customWidth="1"/>
  </cols>
  <sheetData>
    <row r="3" spans="1:21" ht="27.75" x14ac:dyDescent="0.4">
      <c r="A3" s="87" t="s">
        <v>59</v>
      </c>
      <c r="B3" s="87"/>
      <c r="C3" s="87"/>
      <c r="D3" s="87"/>
      <c r="E3" s="87"/>
      <c r="F3" s="87"/>
      <c r="G3" s="1">
        <f>'[1]64 ans et moins'!G3</f>
        <v>0</v>
      </c>
      <c r="S3" s="2"/>
    </row>
    <row r="4" spans="1:21" ht="20.25" x14ac:dyDescent="0.3">
      <c r="B4" s="3"/>
      <c r="C4" s="3"/>
      <c r="D4" s="3"/>
      <c r="E4" s="3"/>
      <c r="G4" s="4"/>
    </row>
    <row r="5" spans="1:21" ht="20.25" x14ac:dyDescent="0.3">
      <c r="B5" s="3"/>
      <c r="C5" s="3"/>
      <c r="D5" s="3"/>
      <c r="E5" s="3"/>
      <c r="G5" s="4"/>
    </row>
    <row r="6" spans="1:21" ht="20.45" customHeight="1" x14ac:dyDescent="0.25">
      <c r="A6" s="5" t="s">
        <v>1</v>
      </c>
      <c r="B6" s="88" t="s">
        <v>2</v>
      </c>
      <c r="C6" s="88"/>
      <c r="D6" s="88"/>
      <c r="E6" s="88"/>
      <c r="G6" s="4"/>
    </row>
    <row r="7" spans="1:21" ht="18" x14ac:dyDescent="0.25">
      <c r="A7" s="6"/>
    </row>
    <row r="8" spans="1:21" ht="18" x14ac:dyDescent="0.25">
      <c r="A8" s="5" t="s">
        <v>3</v>
      </c>
      <c r="B8" s="97"/>
      <c r="C8" s="97"/>
      <c r="D8" s="97"/>
      <c r="E8" s="97"/>
      <c r="G8" s="7" t="s">
        <v>4</v>
      </c>
      <c r="H8" s="8"/>
    </row>
    <row r="9" spans="1:21" ht="18" x14ac:dyDescent="0.25">
      <c r="A9" s="9"/>
    </row>
    <row r="10" spans="1:21" ht="18" x14ac:dyDescent="0.25">
      <c r="A10" s="5" t="s">
        <v>5</v>
      </c>
      <c r="B10" s="85">
        <v>35000</v>
      </c>
      <c r="C10" s="90" t="s">
        <v>34</v>
      </c>
      <c r="D10" s="90"/>
      <c r="E10" s="90"/>
      <c r="F10" s="11" t="s">
        <v>7</v>
      </c>
      <c r="G10" s="12"/>
      <c r="S10" s="2"/>
    </row>
    <row r="11" spans="1:21" x14ac:dyDescent="0.2">
      <c r="F11" s="2"/>
      <c r="M11" t="s">
        <v>8</v>
      </c>
      <c r="S11" s="2"/>
      <c r="T11" s="2"/>
      <c r="U11" s="2"/>
    </row>
    <row r="12" spans="1:21" ht="12.75" customHeight="1" thickBot="1" x14ac:dyDescent="0.25">
      <c r="F12" s="13" t="s">
        <v>9</v>
      </c>
      <c r="G12" s="13" t="s">
        <v>60</v>
      </c>
      <c r="J12" t="s">
        <v>11</v>
      </c>
      <c r="T12" s="2"/>
    </row>
    <row r="13" spans="1:21" x14ac:dyDescent="0.2">
      <c r="F13" s="2"/>
      <c r="M13" s="14" t="s">
        <v>12</v>
      </c>
      <c r="N13" s="15" t="s">
        <v>13</v>
      </c>
      <c r="O13" s="16"/>
      <c r="P13" s="17">
        <f>G29</f>
        <v>189.39</v>
      </c>
      <c r="Q13" s="16" t="s">
        <v>14</v>
      </c>
      <c r="R13" s="16"/>
      <c r="S13" s="18"/>
    </row>
    <row r="14" spans="1:21" ht="15.75" x14ac:dyDescent="0.25">
      <c r="A14" s="19" t="s">
        <v>67</v>
      </c>
      <c r="B14" s="19"/>
      <c r="C14" s="19"/>
      <c r="D14" s="19">
        <f>(($B$10*2)/1000)</f>
        <v>70</v>
      </c>
      <c r="E14" s="84">
        <f>ROUNDUP(D14/2,0)</f>
        <v>35</v>
      </c>
      <c r="F14" s="81">
        <v>0</v>
      </c>
      <c r="G14" s="21">
        <f>F14*1.09</f>
        <v>0</v>
      </c>
      <c r="H14" s="19"/>
      <c r="J14" s="2">
        <f>G14*12</f>
        <v>0</v>
      </c>
      <c r="K14" s="2">
        <f>J14/26</f>
        <v>0</v>
      </c>
      <c r="L14" s="2">
        <f>K14/2</f>
        <v>0</v>
      </c>
      <c r="M14" s="22"/>
      <c r="S14" s="23"/>
    </row>
    <row r="15" spans="1:21" ht="15.75" x14ac:dyDescent="0.25">
      <c r="A15" s="24"/>
      <c r="B15" s="24"/>
      <c r="C15" s="24"/>
      <c r="D15" s="24"/>
      <c r="E15" s="24"/>
      <c r="F15" s="25"/>
      <c r="G15" s="26"/>
      <c r="H15" s="24"/>
      <c r="J15" s="2">
        <f t="shared" ref="J15:J24" si="0">G15*12</f>
        <v>0</v>
      </c>
      <c r="K15" s="2">
        <f t="shared" ref="K15:K24" si="1">J15/26</f>
        <v>0</v>
      </c>
      <c r="L15" s="2">
        <f t="shared" ref="L15:L24" si="2">K15/2</f>
        <v>0</v>
      </c>
      <c r="M15" s="22"/>
      <c r="O15" s="2"/>
      <c r="P15" s="2">
        <f>P13/2</f>
        <v>94.694999999999993</v>
      </c>
      <c r="Q15" s="2" t="s">
        <v>16</v>
      </c>
      <c r="R15" s="2"/>
      <c r="S15" s="23"/>
    </row>
    <row r="16" spans="1:21" ht="15.75" x14ac:dyDescent="0.25">
      <c r="A16" s="19" t="s">
        <v>17</v>
      </c>
      <c r="B16" s="19"/>
      <c r="C16" s="19"/>
      <c r="D16" s="19"/>
      <c r="E16" s="19"/>
      <c r="F16" s="81">
        <f>IF(C10="FAMILIAL",B37,0)</f>
        <v>0</v>
      </c>
      <c r="G16" s="21">
        <f t="shared" ref="G16:G24" si="3">F16*1.09</f>
        <v>0</v>
      </c>
      <c r="H16" s="19"/>
      <c r="J16" s="2">
        <f t="shared" si="0"/>
        <v>0</v>
      </c>
      <c r="K16" s="2">
        <f t="shared" si="1"/>
        <v>0</v>
      </c>
      <c r="L16" s="2">
        <f t="shared" si="2"/>
        <v>0</v>
      </c>
      <c r="M16" s="22"/>
      <c r="P16" s="2">
        <f>P13/2</f>
        <v>94.694999999999993</v>
      </c>
      <c r="Q16" t="s">
        <v>18</v>
      </c>
      <c r="S16" s="23"/>
    </row>
    <row r="17" spans="1:19" ht="15.75" x14ac:dyDescent="0.25">
      <c r="A17" s="24"/>
      <c r="B17" s="24"/>
      <c r="C17" s="24"/>
      <c r="D17" s="24"/>
      <c r="E17" s="24"/>
      <c r="F17" s="25"/>
      <c r="G17" s="26"/>
      <c r="H17" s="24"/>
      <c r="J17" s="2">
        <f t="shared" si="0"/>
        <v>0</v>
      </c>
      <c r="K17" s="2">
        <f t="shared" si="1"/>
        <v>0</v>
      </c>
      <c r="L17" s="2">
        <f t="shared" si="2"/>
        <v>0</v>
      </c>
      <c r="M17" s="22"/>
      <c r="O17" t="s">
        <v>19</v>
      </c>
      <c r="S17" s="23"/>
    </row>
    <row r="18" spans="1:19" ht="16.5" thickBot="1" x14ac:dyDescent="0.3">
      <c r="A18" s="19" t="s">
        <v>68</v>
      </c>
      <c r="B18" s="19"/>
      <c r="C18" s="19"/>
      <c r="D18" s="19">
        <f>(B10*2)/1000</f>
        <v>70</v>
      </c>
      <c r="E18" s="84">
        <f>ROUNDUP(D18/2,0)</f>
        <v>35</v>
      </c>
      <c r="F18" s="81">
        <v>0</v>
      </c>
      <c r="G18" s="21">
        <f t="shared" si="3"/>
        <v>0</v>
      </c>
      <c r="H18" s="19"/>
      <c r="J18" s="2">
        <f t="shared" si="0"/>
        <v>0</v>
      </c>
      <c r="K18" s="2">
        <f t="shared" si="1"/>
        <v>0</v>
      </c>
      <c r="L18" s="2">
        <f t="shared" si="2"/>
        <v>0</v>
      </c>
      <c r="M18" s="22"/>
      <c r="P18" s="27">
        <f>ROUND((F20/2)*1.09,2)</f>
        <v>0</v>
      </c>
      <c r="Q18" t="s">
        <v>21</v>
      </c>
      <c r="S18" s="23"/>
    </row>
    <row r="19" spans="1:19" ht="16.5" thickBot="1" x14ac:dyDescent="0.3">
      <c r="A19" s="24"/>
      <c r="B19" s="24"/>
      <c r="C19" s="24"/>
      <c r="D19" s="24"/>
      <c r="E19" s="24"/>
      <c r="F19" s="25"/>
      <c r="G19" s="26"/>
      <c r="H19" s="24"/>
      <c r="J19" s="2">
        <f t="shared" si="0"/>
        <v>0</v>
      </c>
      <c r="K19" s="2">
        <f t="shared" si="1"/>
        <v>0</v>
      </c>
      <c r="L19" s="2">
        <f t="shared" si="2"/>
        <v>0</v>
      </c>
      <c r="M19" s="22"/>
      <c r="P19" s="27">
        <f>ROUND((F22/2)*1.09,2)</f>
        <v>0</v>
      </c>
      <c r="S19" s="23"/>
    </row>
    <row r="20" spans="1:19" ht="15.75" x14ac:dyDescent="0.25">
      <c r="A20" s="19" t="s">
        <v>69</v>
      </c>
      <c r="B20" s="19"/>
      <c r="C20" s="19"/>
      <c r="D20" s="19"/>
      <c r="E20" s="19"/>
      <c r="F20" s="75">
        <v>0</v>
      </c>
      <c r="G20" s="21">
        <f>F20*1.09</f>
        <v>0</v>
      </c>
      <c r="H20" s="19"/>
      <c r="J20" s="2">
        <f>G20*12</f>
        <v>0</v>
      </c>
      <c r="K20" s="2">
        <f t="shared" si="1"/>
        <v>0</v>
      </c>
      <c r="L20" s="2">
        <f t="shared" si="2"/>
        <v>0</v>
      </c>
      <c r="M20" s="22"/>
      <c r="O20" t="s">
        <v>23</v>
      </c>
      <c r="P20" s="2">
        <f>P16-P18-P19</f>
        <v>94.694999999999993</v>
      </c>
      <c r="Q20" t="s">
        <v>24</v>
      </c>
      <c r="S20" s="23"/>
    </row>
    <row r="21" spans="1:19" ht="15.75" x14ac:dyDescent="0.25">
      <c r="A21" s="24"/>
      <c r="B21" s="24"/>
      <c r="C21" s="24"/>
      <c r="D21" s="24"/>
      <c r="E21" s="24"/>
      <c r="F21" s="25"/>
      <c r="G21" s="26"/>
      <c r="H21" s="24"/>
      <c r="J21" s="2">
        <f t="shared" si="0"/>
        <v>0</v>
      </c>
      <c r="K21" s="2">
        <f t="shared" si="1"/>
        <v>0</v>
      </c>
      <c r="L21" s="2">
        <f t="shared" si="2"/>
        <v>0</v>
      </c>
      <c r="M21" s="22"/>
      <c r="P21" t="s">
        <v>25</v>
      </c>
      <c r="S21" s="23"/>
    </row>
    <row r="22" spans="1:19" ht="16.5" thickBot="1" x14ac:dyDescent="0.3">
      <c r="A22" s="19" t="s">
        <v>70</v>
      </c>
      <c r="B22" s="19"/>
      <c r="C22" s="19"/>
      <c r="D22" s="19"/>
      <c r="E22" s="19"/>
      <c r="F22" s="75">
        <v>0</v>
      </c>
      <c r="G22" s="21">
        <f>F22*1.09</f>
        <v>0</v>
      </c>
      <c r="H22" s="19"/>
      <c r="J22" s="2">
        <f t="shared" si="0"/>
        <v>0</v>
      </c>
      <c r="K22" s="2">
        <f t="shared" si="1"/>
        <v>0</v>
      </c>
      <c r="L22" s="2">
        <f t="shared" si="2"/>
        <v>0</v>
      </c>
      <c r="M22" s="28"/>
      <c r="N22" s="29"/>
      <c r="O22" s="29"/>
      <c r="P22" s="29"/>
      <c r="Q22" s="29"/>
      <c r="R22" s="29" t="s">
        <v>27</v>
      </c>
      <c r="S22" s="30">
        <f>P20*12/26</f>
        <v>43.70538461538461</v>
      </c>
    </row>
    <row r="23" spans="1:19" ht="15.75" x14ac:dyDescent="0.25">
      <c r="A23" s="24"/>
      <c r="B23" s="24"/>
      <c r="C23" s="24"/>
      <c r="D23" s="24"/>
      <c r="E23" s="24"/>
      <c r="F23" s="25"/>
      <c r="G23" s="26"/>
      <c r="H23" s="24"/>
      <c r="J23" s="2">
        <f t="shared" si="0"/>
        <v>0</v>
      </c>
      <c r="K23" s="2">
        <f t="shared" si="1"/>
        <v>0</v>
      </c>
      <c r="L23" s="2">
        <f t="shared" si="2"/>
        <v>0</v>
      </c>
    </row>
    <row r="24" spans="1:19" ht="15.75" x14ac:dyDescent="0.25">
      <c r="A24" s="19" t="s">
        <v>28</v>
      </c>
      <c r="B24" s="19"/>
      <c r="C24" s="19"/>
      <c r="D24" s="19"/>
      <c r="E24" s="19"/>
      <c r="F24" s="20">
        <f>IF(C10="Individuelle",B29,IF(C10="Familiale",B30,B31))</f>
        <v>173.75</v>
      </c>
      <c r="G24" s="21">
        <f t="shared" si="3"/>
        <v>189.38750000000002</v>
      </c>
      <c r="H24" s="19"/>
      <c r="J24" s="2">
        <f t="shared" si="0"/>
        <v>2272.65</v>
      </c>
      <c r="K24" s="2">
        <f t="shared" si="1"/>
        <v>87.409615384615392</v>
      </c>
      <c r="L24" s="2">
        <f t="shared" si="2"/>
        <v>43.704807692307696</v>
      </c>
    </row>
    <row r="25" spans="1:19" x14ac:dyDescent="0.2">
      <c r="K25" s="2"/>
      <c r="L25" s="2"/>
    </row>
    <row r="26" spans="1:19" x14ac:dyDescent="0.2">
      <c r="A26" s="49"/>
      <c r="F26" s="2"/>
      <c r="I26" s="2"/>
      <c r="J26" s="2"/>
    </row>
    <row r="27" spans="1:19" ht="13.5" thickBot="1" x14ac:dyDescent="0.25">
      <c r="I27" s="2"/>
      <c r="J27" s="2"/>
      <c r="N27" s="2"/>
    </row>
    <row r="28" spans="1:19" ht="13.5" thickBot="1" x14ac:dyDescent="0.25">
      <c r="A28" s="91" t="s">
        <v>30</v>
      </c>
      <c r="B28" s="92"/>
      <c r="F28" s="31"/>
      <c r="G28" s="32" t="s">
        <v>31</v>
      </c>
      <c r="H28" s="33" t="s">
        <v>32</v>
      </c>
    </row>
    <row r="29" spans="1:19" ht="15.75" thickBot="1" x14ac:dyDescent="0.25">
      <c r="A29" s="35" t="s">
        <v>34</v>
      </c>
      <c r="B29" s="36">
        <v>173.75</v>
      </c>
      <c r="C29" s="37"/>
      <c r="E29" s="86" t="s">
        <v>35</v>
      </c>
      <c r="F29" s="86"/>
      <c r="G29" s="38">
        <f>ROUND(SUM(G14:G28),2)</f>
        <v>189.39</v>
      </c>
      <c r="H29" s="39">
        <f>G29*12</f>
        <v>2272.6799999999998</v>
      </c>
      <c r="J29" s="2"/>
      <c r="K29" s="2"/>
    </row>
    <row r="30" spans="1:19" ht="15.75" thickTop="1" x14ac:dyDescent="0.2">
      <c r="A30" s="41" t="s">
        <v>36</v>
      </c>
      <c r="B30" s="42">
        <v>415.27</v>
      </c>
      <c r="C30" s="37"/>
      <c r="E30" s="86" t="s">
        <v>37</v>
      </c>
      <c r="F30" s="94"/>
      <c r="G30" s="44">
        <f>G29/2</f>
        <v>94.694999999999993</v>
      </c>
      <c r="H30" s="32">
        <f>G30*12</f>
        <v>1136.3399999999999</v>
      </c>
      <c r="J30" s="2"/>
      <c r="K30" s="2"/>
    </row>
    <row r="31" spans="1:19" ht="15" x14ac:dyDescent="0.2">
      <c r="A31" s="45" t="s">
        <v>6</v>
      </c>
      <c r="B31" s="46">
        <v>0</v>
      </c>
      <c r="C31" s="37"/>
      <c r="D31" s="2"/>
      <c r="E31" s="86" t="s">
        <v>38</v>
      </c>
      <c r="F31" s="94"/>
      <c r="G31" s="44">
        <f>G29/2</f>
        <v>94.694999999999993</v>
      </c>
      <c r="H31" s="32">
        <f>G31*12</f>
        <v>1136.3399999999999</v>
      </c>
      <c r="J31" s="2"/>
    </row>
    <row r="32" spans="1:19" ht="15" x14ac:dyDescent="0.2">
      <c r="A32" s="47"/>
      <c r="B32" s="37"/>
      <c r="F32" s="2"/>
      <c r="G32" s="44"/>
      <c r="H32" s="32"/>
      <c r="I32" s="2"/>
      <c r="K32" s="2"/>
    </row>
    <row r="33" spans="1:12" ht="13.5" thickBot="1" x14ac:dyDescent="0.25">
      <c r="G33" s="32"/>
      <c r="H33" s="31"/>
      <c r="K33" s="50"/>
    </row>
    <row r="34" spans="1:12" ht="18.75" thickBot="1" x14ac:dyDescent="0.3">
      <c r="A34" s="91" t="s">
        <v>40</v>
      </c>
      <c r="B34" s="92"/>
      <c r="G34" s="51" t="s">
        <v>41</v>
      </c>
      <c r="H34" s="51" t="s">
        <v>42</v>
      </c>
      <c r="K34" s="53"/>
      <c r="L34" s="53"/>
    </row>
    <row r="35" spans="1:12" ht="15" x14ac:dyDescent="0.2">
      <c r="A35" s="54" t="s">
        <v>43</v>
      </c>
      <c r="B35" s="55">
        <v>0.39800000000000002</v>
      </c>
      <c r="F35" s="82" t="s">
        <v>44</v>
      </c>
      <c r="G35" s="83">
        <f>ROUND(((F14+F18+F16+F24)/2*(1+B40)),2)</f>
        <v>94.69</v>
      </c>
      <c r="H35" s="83">
        <f>ROUND(G35*12,2)</f>
        <v>1136.28</v>
      </c>
      <c r="I35" s="58"/>
      <c r="J35" s="58"/>
      <c r="K35" s="2"/>
      <c r="L35" s="58"/>
    </row>
    <row r="36" spans="1:12" ht="18" x14ac:dyDescent="0.25">
      <c r="A36" s="59" t="s">
        <v>45</v>
      </c>
      <c r="B36" s="60">
        <v>3.5000000000000003E-2</v>
      </c>
      <c r="D36" s="47" t="s">
        <v>71</v>
      </c>
      <c r="F36" s="77" t="s">
        <v>46</v>
      </c>
      <c r="G36" s="61"/>
      <c r="H36" s="61"/>
      <c r="I36" s="53"/>
      <c r="J36" s="53"/>
      <c r="K36" s="2"/>
      <c r="L36" s="58"/>
    </row>
    <row r="37" spans="1:12" ht="15" x14ac:dyDescent="0.2">
      <c r="A37" s="62" t="s">
        <v>47</v>
      </c>
      <c r="B37" s="63">
        <v>6.44</v>
      </c>
      <c r="D37" s="47"/>
      <c r="G37" s="61"/>
      <c r="H37" s="61"/>
    </row>
    <row r="38" spans="1:12" ht="15" x14ac:dyDescent="0.2">
      <c r="A38" s="64" t="s">
        <v>48</v>
      </c>
      <c r="B38" s="79" t="s">
        <v>66</v>
      </c>
      <c r="D38" t="s">
        <v>72</v>
      </c>
      <c r="F38" s="43" t="s">
        <v>49</v>
      </c>
      <c r="G38" s="56">
        <f>ROUND(((F14+F16+F18)*1.09)/2,2)</f>
        <v>0</v>
      </c>
      <c r="H38" s="56">
        <f>G38*12</f>
        <v>0</v>
      </c>
    </row>
    <row r="39" spans="1:12" x14ac:dyDescent="0.2">
      <c r="A39" s="64" t="s">
        <v>50</v>
      </c>
      <c r="B39" s="79" t="s">
        <v>66</v>
      </c>
      <c r="D39" s="47" t="s">
        <v>73</v>
      </c>
      <c r="F39" s="43" t="s">
        <v>51</v>
      </c>
      <c r="G39" s="32"/>
      <c r="H39" s="31"/>
      <c r="K39" s="58"/>
    </row>
    <row r="40" spans="1:12" ht="18" x14ac:dyDescent="0.25">
      <c r="A40" s="66" t="s">
        <v>52</v>
      </c>
      <c r="B40" s="67">
        <v>0.09</v>
      </c>
      <c r="G40" s="68"/>
      <c r="K40" s="53"/>
      <c r="L40" s="58"/>
    </row>
    <row r="41" spans="1:12" ht="21" customHeight="1" x14ac:dyDescent="0.25">
      <c r="B41" s="69"/>
      <c r="I41" s="58"/>
      <c r="J41" s="58"/>
      <c r="L41" s="53"/>
    </row>
    <row r="42" spans="1:12" x14ac:dyDescent="0.2">
      <c r="E42" s="70" t="s">
        <v>53</v>
      </c>
      <c r="F42" s="70" t="s">
        <v>54</v>
      </c>
      <c r="G42" s="71" t="s">
        <v>41</v>
      </c>
      <c r="H42" s="70" t="s">
        <v>42</v>
      </c>
    </row>
    <row r="43" spans="1:12" x14ac:dyDescent="0.2">
      <c r="E43" s="31"/>
      <c r="F43" s="31"/>
      <c r="G43" s="32"/>
      <c r="H43" s="31"/>
    </row>
    <row r="44" spans="1:12" x14ac:dyDescent="0.2">
      <c r="B44" s="72" t="s">
        <v>55</v>
      </c>
      <c r="C44" s="72"/>
      <c r="E44" s="32">
        <f>H44/24</f>
        <v>47.347499999999997</v>
      </c>
      <c r="F44" s="32">
        <f>H44/26</f>
        <v>43.70538461538461</v>
      </c>
      <c r="G44" s="32">
        <f>G29/2</f>
        <v>94.694999999999993</v>
      </c>
      <c r="H44" s="32">
        <f>G44*12</f>
        <v>1136.3399999999999</v>
      </c>
    </row>
    <row r="45" spans="1:12" x14ac:dyDescent="0.2">
      <c r="B45" s="72"/>
      <c r="C45" s="72"/>
      <c r="D45" s="72"/>
      <c r="E45" s="31"/>
      <c r="F45" s="32"/>
      <c r="G45" s="32"/>
      <c r="H45" s="31"/>
      <c r="K45" s="58"/>
    </row>
    <row r="46" spans="1:12" x14ac:dyDescent="0.2">
      <c r="B46" s="72" t="s">
        <v>56</v>
      </c>
      <c r="C46" s="72"/>
      <c r="D46" s="72"/>
      <c r="E46" s="32">
        <f>H46/24</f>
        <v>47.347499999999997</v>
      </c>
      <c r="F46" s="32">
        <f>H46/26</f>
        <v>43.70538461538461</v>
      </c>
      <c r="G46" s="32">
        <f>G44/2*2</f>
        <v>94.694999999999993</v>
      </c>
      <c r="H46" s="32">
        <f>G46*12</f>
        <v>1136.3399999999999</v>
      </c>
      <c r="L46" s="72"/>
    </row>
    <row r="47" spans="1:12" x14ac:dyDescent="0.2">
      <c r="B47" s="72"/>
      <c r="C47" s="72"/>
      <c r="D47" s="72"/>
      <c r="E47" s="31"/>
      <c r="F47" s="31"/>
      <c r="G47" s="32"/>
      <c r="H47" s="31"/>
      <c r="I47" s="58"/>
      <c r="J47" s="58"/>
      <c r="K47" s="2"/>
    </row>
    <row r="48" spans="1:12" x14ac:dyDescent="0.2">
      <c r="B48" s="72" t="s">
        <v>57</v>
      </c>
      <c r="C48" s="72"/>
      <c r="D48" s="72"/>
      <c r="E48" s="32">
        <f>H48/24</f>
        <v>47.344999999999999</v>
      </c>
      <c r="F48" s="32">
        <f>H48/26</f>
        <v>43.703076923076921</v>
      </c>
      <c r="G48" s="32">
        <f>G35</f>
        <v>94.69</v>
      </c>
      <c r="H48" s="13">
        <f>G48*12</f>
        <v>1136.28</v>
      </c>
      <c r="L48" s="2"/>
    </row>
    <row r="49" spans="1:12" x14ac:dyDescent="0.2">
      <c r="B49" s="72"/>
      <c r="C49" s="72"/>
      <c r="E49" s="31"/>
      <c r="F49" s="31"/>
      <c r="G49" s="32"/>
      <c r="H49" s="31"/>
      <c r="I49" s="2"/>
      <c r="J49" s="2"/>
      <c r="K49" s="2"/>
    </row>
    <row r="50" spans="1:12" x14ac:dyDescent="0.2">
      <c r="B50" s="72" t="s">
        <v>58</v>
      </c>
      <c r="C50" s="72"/>
      <c r="E50" s="32">
        <f>H50/24</f>
        <v>0</v>
      </c>
      <c r="F50" s="32">
        <f>H50/26</f>
        <v>0</v>
      </c>
      <c r="G50" s="32">
        <f>G38</f>
        <v>0</v>
      </c>
      <c r="H50" s="13">
        <f>G50*12</f>
        <v>0</v>
      </c>
      <c r="L50" s="2"/>
    </row>
    <row r="51" spans="1:12" x14ac:dyDescent="0.2">
      <c r="B51" s="72"/>
      <c r="C51" s="72"/>
      <c r="I51" s="2"/>
      <c r="J51" s="2"/>
      <c r="K51" s="73"/>
    </row>
    <row r="52" spans="1:12" x14ac:dyDescent="0.2">
      <c r="C52" s="72"/>
      <c r="L52" s="73"/>
    </row>
    <row r="53" spans="1:12" x14ac:dyDescent="0.2">
      <c r="A53" s="72"/>
      <c r="C53" s="72"/>
      <c r="I53" s="73"/>
      <c r="J53" s="73"/>
      <c r="K53" s="73"/>
    </row>
    <row r="54" spans="1:12" x14ac:dyDescent="0.2">
      <c r="L54" s="73"/>
    </row>
    <row r="55" spans="1:12" x14ac:dyDescent="0.2">
      <c r="I55" s="73"/>
      <c r="J55" s="73"/>
    </row>
  </sheetData>
  <sheetProtection algorithmName="SHA-512" hashValue="qF1Il0+E6YiIuw/i09ofJiA8btU62G6/BQ2yzpLo2EoqhTR4yQoIWFTrGshopKCNLBe3sAuM5+KHpQlJShVdlg==" saltValue="/9x8yty9Lfjdr8pRtTnKwg==" spinCount="100000" sheet="1" objects="1" scenarios="1" selectLockedCells="1"/>
  <protectedRanges>
    <protectedRange sqref="B10:C10 B29:B32 C29:C31 B35:B41" name="Plage1"/>
  </protectedRanges>
  <mergeCells count="9">
    <mergeCell ref="E30:F30"/>
    <mergeCell ref="E31:F31"/>
    <mergeCell ref="A34:B34"/>
    <mergeCell ref="A3:F3"/>
    <mergeCell ref="B6:E6"/>
    <mergeCell ref="B8:E8"/>
    <mergeCell ref="C10:E10"/>
    <mergeCell ref="A28:B28"/>
    <mergeCell ref="E29:F29"/>
  </mergeCells>
  <dataValidations count="2">
    <dataValidation type="list" allowBlank="1" showInputMessage="1" showErrorMessage="1" sqref="C10" xr:uid="{87FB1FC7-A93C-4A22-996E-80C4E7B8C0CA}">
      <formula1>$A$29:$A$31</formula1>
    </dataValidation>
    <dataValidation type="whole" operator="greaterThan" allowBlank="1" showInputMessage="1" showErrorMessage="1" sqref="D14" xr:uid="{F0995C27-F437-47EC-AB93-74C27E3FEA45}">
      <formula1>D14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scale="74" orientation="landscape" r:id="rId1"/>
  <headerFooter alignWithMargins="0">
    <oddFooter>&amp;L                                   &amp;F (&amp;A)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64 ans et moins</vt:lpstr>
      <vt:lpstr>65 ans et +</vt:lpstr>
      <vt:lpstr>70 ans et +</vt:lpstr>
      <vt:lpstr>'64 ans et moins'!Zone_d_impression</vt:lpstr>
      <vt:lpstr>'65 ans et +'!Zone_d_impression</vt:lpstr>
      <vt:lpstr>'70 ans et +'!Zone_d_impression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Stéphanie Woo</dc:creator>
  <cp:keywords/>
  <dc:description/>
  <cp:lastModifiedBy>Justine Orounla</cp:lastModifiedBy>
  <cp:revision/>
  <dcterms:created xsi:type="dcterms:W3CDTF">2024-01-14T04:30:30Z</dcterms:created>
  <dcterms:modified xsi:type="dcterms:W3CDTF">2024-02-15T21:11:13Z</dcterms:modified>
  <cp:category/>
  <cp:contentStatus/>
</cp:coreProperties>
</file>